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XLee\Downloads\"/>
    </mc:Choice>
  </mc:AlternateContent>
  <xr:revisionPtr revIDLastSave="0" documentId="8_{612F2892-4E39-4181-A42F-4E651CCFAD42}" xr6:coauthVersionLast="47" xr6:coauthVersionMax="47" xr10:uidLastSave="{00000000-0000-0000-0000-000000000000}"/>
  <bookViews>
    <workbookView xWindow="-28920" yWindow="1665" windowWidth="29040" windowHeight="15720" xr2:uid="{00000000-000D-0000-FFFF-FFFF00000000}"/>
  </bookViews>
  <sheets>
    <sheet name="Reconciliation Template" sheetId="3" r:id="rId1"/>
    <sheet name="Recon Example Calc-Profit" sheetId="1" r:id="rId2"/>
    <sheet name="Recon Example Calc-Loss" sheetId="2" r:id="rId3"/>
  </sheets>
  <externalReferences>
    <externalReference r:id="rId4"/>
  </externalReferences>
  <definedNames>
    <definedName name="Bound">[1]Inputs!$B$6</definedName>
    <definedName name="ReconPercent">[1]Inputs!$B$4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C22" i="3"/>
  <c r="D22" i="3"/>
  <c r="E22" i="3"/>
  <c r="F22" i="3"/>
  <c r="G22" i="3"/>
  <c r="H22" i="3"/>
  <c r="I22" i="3"/>
  <c r="J22" i="3"/>
  <c r="K22" i="3"/>
  <c r="L22" i="3"/>
  <c r="M22" i="3"/>
  <c r="B22" i="3"/>
  <c r="M23" i="3"/>
  <c r="M7" i="3"/>
  <c r="M13" i="3"/>
  <c r="M14" i="3"/>
  <c r="M15" i="3"/>
  <c r="M16" i="3"/>
  <c r="B17" i="3"/>
  <c r="B19" i="3" s="1"/>
  <c r="C17" i="3"/>
  <c r="C19" i="3" s="1"/>
  <c r="D17" i="3"/>
  <c r="D19" i="3" s="1"/>
  <c r="E17" i="3"/>
  <c r="E19" i="3" s="1"/>
  <c r="F17" i="3"/>
  <c r="F19" i="3" s="1"/>
  <c r="G17" i="3"/>
  <c r="G19" i="3" s="1"/>
  <c r="H17" i="3"/>
  <c r="H19" i="3" s="1"/>
  <c r="I17" i="3"/>
  <c r="I19" i="3" s="1"/>
  <c r="J17" i="3"/>
  <c r="J19" i="3" s="1"/>
  <c r="K17" i="3"/>
  <c r="L17" i="3"/>
  <c r="L19" i="3" s="1"/>
  <c r="M4" i="3"/>
  <c r="M5" i="3"/>
  <c r="M6" i="3"/>
  <c r="M8" i="3"/>
  <c r="M9" i="3"/>
  <c r="B10" i="3"/>
  <c r="C10" i="3"/>
  <c r="C21" i="3" s="1"/>
  <c r="D10" i="3"/>
  <c r="E10" i="3"/>
  <c r="F10" i="3"/>
  <c r="G10" i="3"/>
  <c r="H10" i="3"/>
  <c r="H21" i="3" s="1"/>
  <c r="I10" i="3"/>
  <c r="I21" i="3" s="1"/>
  <c r="J10" i="3"/>
  <c r="K10" i="3"/>
  <c r="K21" i="3" s="1"/>
  <c r="L10" i="3"/>
  <c r="M23" i="1"/>
  <c r="J13" i="2"/>
  <c r="I13" i="2"/>
  <c r="I17" i="2" s="1"/>
  <c r="I19" i="2" s="1"/>
  <c r="E13" i="2"/>
  <c r="E17" i="2" s="1"/>
  <c r="E19" i="2" s="1"/>
  <c r="C13" i="2"/>
  <c r="C17" i="2" s="1"/>
  <c r="C19" i="2" s="1"/>
  <c r="H13" i="2"/>
  <c r="H17" i="2" s="1"/>
  <c r="H19" i="2" s="1"/>
  <c r="B13" i="2"/>
  <c r="B17" i="2" s="1"/>
  <c r="B19" i="2" s="1"/>
  <c r="D13" i="2"/>
  <c r="D17" i="2" s="1"/>
  <c r="D19" i="2" s="1"/>
  <c r="M23" i="2"/>
  <c r="L17" i="2"/>
  <c r="L19" i="2" s="1"/>
  <c r="K17" i="2"/>
  <c r="G17" i="2"/>
  <c r="G19" i="2" s="1"/>
  <c r="F17" i="2"/>
  <c r="F19" i="2" s="1"/>
  <c r="M16" i="2"/>
  <c r="J15" i="2"/>
  <c r="M15" i="2" s="1"/>
  <c r="M14" i="2"/>
  <c r="L9" i="2"/>
  <c r="L10" i="2" s="1"/>
  <c r="K9" i="2"/>
  <c r="K10" i="2" s="1"/>
  <c r="I9" i="2"/>
  <c r="I10" i="2" s="1"/>
  <c r="H9" i="2"/>
  <c r="H10" i="2" s="1"/>
  <c r="G9" i="2"/>
  <c r="G10" i="2" s="1"/>
  <c r="F9" i="2"/>
  <c r="F10" i="2" s="1"/>
  <c r="E9" i="2"/>
  <c r="E10" i="2" s="1"/>
  <c r="D9" i="2"/>
  <c r="D10" i="2" s="1"/>
  <c r="C9" i="2"/>
  <c r="J8" i="2"/>
  <c r="M8" i="2" s="1"/>
  <c r="B7" i="2"/>
  <c r="M7" i="2" s="1"/>
  <c r="M6" i="2"/>
  <c r="J5" i="2"/>
  <c r="M5" i="2" s="1"/>
  <c r="J4" i="2"/>
  <c r="K21" i="2" l="1"/>
  <c r="K22" i="2" s="1"/>
  <c r="M17" i="3"/>
  <c r="J9" i="2"/>
  <c r="J10" i="2" s="1"/>
  <c r="J17" i="2"/>
  <c r="J19" i="2" s="1"/>
  <c r="M19" i="2" s="1"/>
  <c r="B9" i="2"/>
  <c r="B10" i="2" s="1"/>
  <c r="F21" i="2"/>
  <c r="F22" i="2" s="1"/>
  <c r="J21" i="3"/>
  <c r="B21" i="3"/>
  <c r="F21" i="3"/>
  <c r="M10" i="3"/>
  <c r="B30" i="3" s="1"/>
  <c r="G21" i="3"/>
  <c r="E21" i="3"/>
  <c r="D21" i="3"/>
  <c r="M19" i="3"/>
  <c r="L21" i="3"/>
  <c r="E21" i="2"/>
  <c r="E22" i="2" s="1"/>
  <c r="H21" i="2"/>
  <c r="H22" i="2" s="1"/>
  <c r="I21" i="2"/>
  <c r="I22" i="2" s="1"/>
  <c r="D21" i="2"/>
  <c r="D22" i="2" s="1"/>
  <c r="B21" i="2"/>
  <c r="B22" i="2" s="1"/>
  <c r="L21" i="2"/>
  <c r="L22" i="2"/>
  <c r="G21" i="2"/>
  <c r="G22" i="2" s="1"/>
  <c r="M13" i="2"/>
  <c r="M17" i="2" s="1"/>
  <c r="M4" i="2"/>
  <c r="C10" i="2"/>
  <c r="C21" i="2" s="1"/>
  <c r="C22" i="2" s="1"/>
  <c r="J21" i="2" l="1"/>
  <c r="J22" i="2" s="1"/>
  <c r="M9" i="2"/>
  <c r="M10" i="2" s="1"/>
  <c r="B30" i="2" s="1"/>
  <c r="M21" i="3"/>
  <c r="B31" i="3" s="1"/>
  <c r="M21" i="2" l="1"/>
  <c r="B31" i="2" s="1"/>
  <c r="G45" i="3"/>
  <c r="G55" i="3"/>
  <c r="M22" i="2" l="1"/>
  <c r="M26" i="2"/>
  <c r="D55" i="3"/>
  <c r="E55" i="3" s="1"/>
  <c r="G56" i="3"/>
  <c r="D45" i="3"/>
  <c r="E45" i="3" s="1"/>
  <c r="G45" i="2"/>
  <c r="B32" i="2"/>
  <c r="G55" i="2"/>
  <c r="G46" i="3" l="1"/>
  <c r="D56" i="3"/>
  <c r="E56" i="3" s="1"/>
  <c r="D46" i="3"/>
  <c r="E46" i="3" s="1"/>
  <c r="D55" i="2"/>
  <c r="E55" i="2" s="1"/>
  <c r="D45" i="2"/>
  <c r="E45" i="2" s="1"/>
  <c r="G57" i="3" l="1"/>
  <c r="G47" i="3"/>
  <c r="G56" i="2"/>
  <c r="D56" i="2" s="1"/>
  <c r="E56" i="2" s="1"/>
  <c r="G46" i="2"/>
  <c r="D47" i="3" l="1"/>
  <c r="E47" i="3" s="1"/>
  <c r="D57" i="3"/>
  <c r="E57" i="3" s="1"/>
  <c r="D46" i="2"/>
  <c r="E46" i="2" s="1"/>
  <c r="G57" i="2"/>
  <c r="G58" i="3" l="1"/>
  <c r="D58" i="3" s="1"/>
  <c r="E58" i="3" s="1"/>
  <c r="G48" i="3"/>
  <c r="D48" i="3" s="1"/>
  <c r="E48" i="3" s="1"/>
  <c r="D57" i="2"/>
  <c r="E57" i="2" s="1"/>
  <c r="G47" i="2"/>
  <c r="G59" i="3" l="1"/>
  <c r="D59" i="3" s="1"/>
  <c r="E59" i="3" s="1"/>
  <c r="B36" i="3" s="1"/>
  <c r="G58" i="2"/>
  <c r="D58" i="2" s="1"/>
  <c r="E58" i="2" s="1"/>
  <c r="D47" i="2"/>
  <c r="E47" i="2" s="1"/>
  <c r="B40" i="3" l="1"/>
  <c r="B41" i="3" s="1"/>
  <c r="G59" i="2"/>
  <c r="D59" i="2" s="1"/>
  <c r="E59" i="2" s="1"/>
  <c r="G48" i="2"/>
  <c r="D48" i="2" s="1"/>
  <c r="E48" i="2" s="1"/>
  <c r="B36" i="2" l="1"/>
  <c r="B40" i="2"/>
  <c r="B41" i="2" s="1"/>
  <c r="L9" i="1" l="1"/>
  <c r="L10" i="1" s="1"/>
  <c r="K9" i="1"/>
  <c r="K10" i="1" s="1"/>
  <c r="I9" i="1"/>
  <c r="I10" i="1" s="1"/>
  <c r="H9" i="1"/>
  <c r="G9" i="1"/>
  <c r="G10" i="1" s="1"/>
  <c r="F9" i="1"/>
  <c r="F10" i="1" s="1"/>
  <c r="E9" i="1"/>
  <c r="E10" i="1" s="1"/>
  <c r="D9" i="1"/>
  <c r="D10" i="1" s="1"/>
  <c r="C9" i="1"/>
  <c r="C10" i="1" s="1"/>
  <c r="B7" i="1"/>
  <c r="M7" i="1" s="1"/>
  <c r="H10" i="1"/>
  <c r="B9" i="1" l="1"/>
  <c r="B10" i="1" s="1"/>
  <c r="L17" i="1"/>
  <c r="L19" i="1" s="1"/>
  <c r="K17" i="1"/>
  <c r="K21" i="1" s="1"/>
  <c r="I17" i="1"/>
  <c r="I19" i="1" s="1"/>
  <c r="H17" i="1"/>
  <c r="H19" i="1" s="1"/>
  <c r="G17" i="1"/>
  <c r="G19" i="1" s="1"/>
  <c r="F17" i="1"/>
  <c r="F19" i="1" s="1"/>
  <c r="E17" i="1"/>
  <c r="E19" i="1" s="1"/>
  <c r="D17" i="1"/>
  <c r="D19" i="1" s="1"/>
  <c r="C17" i="1"/>
  <c r="C19" i="1" s="1"/>
  <c r="J15" i="1"/>
  <c r="J13" i="1"/>
  <c r="J8" i="1"/>
  <c r="J5" i="1"/>
  <c r="J4" i="1"/>
  <c r="J9" i="1" s="1"/>
  <c r="C21" i="1" l="1"/>
  <c r="I21" i="1"/>
  <c r="J10" i="1"/>
  <c r="G21" i="1"/>
  <c r="F21" i="1"/>
  <c r="L21" i="1"/>
  <c r="H21" i="1"/>
  <c r="D21" i="1"/>
  <c r="E21" i="1"/>
  <c r="J17" i="1"/>
  <c r="J19" i="1" s="1"/>
  <c r="K22" i="1"/>
  <c r="J21" i="1" l="1"/>
  <c r="J22" i="1" s="1"/>
  <c r="B13" i="1"/>
  <c r="B17" i="1" s="1"/>
  <c r="B19" i="1" l="1"/>
  <c r="B21" i="1" s="1"/>
  <c r="B22" i="1" s="1"/>
  <c r="M19" i="1"/>
  <c r="M16" i="1"/>
  <c r="M15" i="1"/>
  <c r="M14" i="1"/>
  <c r="M8" i="1"/>
  <c r="M6" i="1"/>
  <c r="M5" i="1"/>
  <c r="M4" i="1"/>
  <c r="G22" i="1" l="1"/>
  <c r="H22" i="1"/>
  <c r="D22" i="1"/>
  <c r="C22" i="1"/>
  <c r="M13" i="1"/>
  <c r="M17" i="1" s="1"/>
  <c r="I22" i="1" l="1"/>
  <c r="F22" i="1"/>
  <c r="E22" i="1"/>
  <c r="L22" i="1"/>
  <c r="M9" i="1"/>
  <c r="M10" i="1" l="1"/>
  <c r="M21" i="1" s="1"/>
  <c r="B31" i="1" s="1"/>
  <c r="G55" i="1" s="1"/>
  <c r="B30" i="1" l="1"/>
  <c r="D55" i="1"/>
  <c r="G56" i="1" s="1"/>
  <c r="M26" i="1"/>
  <c r="M22" i="1"/>
  <c r="D56" i="1" l="1"/>
  <c r="E56" i="1" s="1"/>
  <c r="G45" i="1"/>
  <c r="B32" i="1"/>
  <c r="G57" i="1" l="1"/>
  <c r="D57" i="1" s="1"/>
  <c r="E57" i="1" s="1"/>
  <c r="D45" i="1"/>
  <c r="E45" i="1" s="1"/>
  <c r="G58" i="1" l="1"/>
  <c r="D58" i="1" s="1"/>
  <c r="E58" i="1" s="1"/>
  <c r="G46" i="1"/>
  <c r="D46" i="1" s="1"/>
  <c r="E46" i="1" s="1"/>
  <c r="G47" i="1" l="1"/>
  <c r="D47" i="1" s="1"/>
  <c r="E47" i="1" s="1"/>
  <c r="G59" i="1"/>
  <c r="D59" i="1" s="1"/>
  <c r="E59" i="1" s="1"/>
  <c r="G48" i="1" l="1"/>
  <c r="D48" i="1" s="1"/>
  <c r="E48" i="1" s="1"/>
  <c r="E55" i="1" l="1"/>
  <c r="B36" i="1" l="1"/>
  <c r="B40" i="1" s="1"/>
  <c r="B41" i="1" s="1"/>
</calcChain>
</file>

<file path=xl/sharedStrings.xml><?xml version="1.0" encoding="utf-8"?>
<sst xmlns="http://schemas.openxmlformats.org/spreadsheetml/2006/main" count="200" uniqueCount="79">
  <si>
    <t>TOTAL</t>
  </si>
  <si>
    <t>Prospective Capitation</t>
  </si>
  <si>
    <t>Delivery Supplemental Payments</t>
  </si>
  <si>
    <t>Less: Administrative Component</t>
  </si>
  <si>
    <t>Less: Premium Tax Component</t>
  </si>
  <si>
    <t>Less: CN1 Code 05 Encounters</t>
  </si>
  <si>
    <t>Member Months</t>
  </si>
  <si>
    <t>Total Profit/(Loss) to be Reconciled</t>
  </si>
  <si>
    <t>Excess Profit</t>
  </si>
  <si>
    <t>Recoup. %</t>
  </si>
  <si>
    <t>Recoupment</t>
  </si>
  <si>
    <t>Calcs</t>
  </si>
  <si>
    <t>&lt;=2%</t>
  </si>
  <si>
    <t>Excess Loss</t>
  </si>
  <si>
    <t>Reimburse</t>
  </si>
  <si>
    <t>PPC Capitation</t>
  </si>
  <si>
    <t>AGE &lt;1</t>
  </si>
  <si>
    <t>AGE 1-20</t>
  </si>
  <si>
    <t>AGE 21+</t>
  </si>
  <si>
    <t>DUALS</t>
  </si>
  <si>
    <t>SSI WITHOUT MEDICARE</t>
  </si>
  <si>
    <t>KIDSCARE</t>
  </si>
  <si>
    <t>OTHER ADJUSTMENTS</t>
  </si>
  <si>
    <t>SETTLEMENT</t>
  </si>
  <si>
    <t>SMI (ACC-RBHA Only)</t>
  </si>
  <si>
    <t>Crisis (ACC-RBHA Only)</t>
  </si>
  <si>
    <t>PROP 204 CHILDLESS ADULTS</t>
  </si>
  <si>
    <t>EXPANSION ADULTS</t>
  </si>
  <si>
    <t xml:space="preserve">   Reinsurance</t>
  </si>
  <si>
    <t>Medical Revenue</t>
  </si>
  <si>
    <t>Medical Revenue Sources</t>
  </si>
  <si>
    <t>Reinsurance</t>
  </si>
  <si>
    <t>Medical Expense Sources</t>
  </si>
  <si>
    <t>Fully Adjudicated and Approved Encounters</t>
  </si>
  <si>
    <t>Medical Expense</t>
  </si>
  <si>
    <t>Encounter Completion</t>
  </si>
  <si>
    <r>
      <t xml:space="preserve">Profit/(Loss) to be Reconciled  </t>
    </r>
    <r>
      <rPr>
        <sz val="11"/>
        <rFont val="Calibri"/>
        <family val="2"/>
        <scheme val="minor"/>
      </rPr>
      <t>= (Medical Revenue-Medical Expense-Provision for HCQI Activities)</t>
    </r>
  </si>
  <si>
    <t>Profit/(Loss) % of Medical Revenue</t>
  </si>
  <si>
    <t>Amount due to (From) Contractor</t>
  </si>
  <si>
    <t>Other Adjustments</t>
  </si>
  <si>
    <t>Premium Tax</t>
  </si>
  <si>
    <t>Net amount due to (from) Contractor</t>
  </si>
  <si>
    <t>Recon amount due to/from calculation</t>
  </si>
  <si>
    <t>Assumptions:</t>
  </si>
  <si>
    <t>Profit</t>
  </si>
  <si>
    <t>By Band</t>
  </si>
  <si>
    <t xml:space="preserve"> x &gt; 7%</t>
  </si>
  <si>
    <t>2% &lt; x &lt;= 4%</t>
  </si>
  <si>
    <t>&lt;= 2%</t>
  </si>
  <si>
    <t>Loss</t>
  </si>
  <si>
    <t>&lt;= 1%</t>
  </si>
  <si>
    <t>2% &lt; x &lt;= 3%</t>
  </si>
  <si>
    <t>3% &lt; x &lt;= 4%</t>
  </si>
  <si>
    <t>&gt; 4%</t>
  </si>
  <si>
    <t>4% &lt; x &lt;= 7%</t>
  </si>
  <si>
    <t>Plus: Medical Sub-Capitated/Block Purchase Expense</t>
  </si>
  <si>
    <t>1% &lt; x &lt;= 2%</t>
  </si>
  <si>
    <t xml:space="preserve">2) Medical Expenses include all Prospective and PPC  fully adjudicated and approved encounters for dates of service within the reconciliation time frame. </t>
  </si>
  <si>
    <t xml:space="preserve">4) Medical Sub-Capitated/Block Purchase Expenses are self reported medical amounts from Quarterly Financial statements or final audits. </t>
  </si>
  <si>
    <t>5) All encounters with CN 1 code of 05 with an amount greater than $0 have been excluded from this reconciliation.</t>
  </si>
  <si>
    <t xml:space="preserve">3) The Administrative Component will be the administrative Per Member Per Month (PMPM) amount built into the cap rates multiplied by the actual member months. </t>
  </si>
  <si>
    <t>Provision for Health Care Quality Improvement (HCQI) Activities</t>
  </si>
  <si>
    <t>1) Medical Revenue includes Prospective and Prior Period Coverage (PPC) Capitation, Delivery Supplemental Payments, and Reinsurance Payments for dates of service within the reconciliation time frame.</t>
  </si>
  <si>
    <t>Settlement</t>
  </si>
  <si>
    <t xml:space="preserve"> Encounter Completion</t>
  </si>
  <si>
    <t>2% &lt; x &lt;=  4%</t>
  </si>
  <si>
    <t>4% &lt; x &lt;= 7</t>
  </si>
  <si>
    <r>
      <t xml:space="preserve"> x &gt;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7%</t>
    </r>
  </si>
  <si>
    <t>1)Total Medical Revenue includes Prospective and Prior Period Coverage (PPC) Capitation,  Delivery Supplemental Payments, and Reinsurance Payments  for dates of service within the reconciliation time frame.</t>
  </si>
  <si>
    <t xml:space="preserve">2) Medical Expenses include all Prospective and PPC fully adjudicated and approved  encounters for dates of service within the reconciliation time frame.  </t>
  </si>
  <si>
    <t xml:space="preserve">4) Medical Sub-Capitated/Block Purchase expenses are self reported medical amounts from Quarterly Financial statements or final audits. </t>
  </si>
  <si>
    <t>Amount Due to (From) Contractor</t>
  </si>
  <si>
    <t xml:space="preserve"> Profit</t>
  </si>
  <si>
    <t>Expense Completion</t>
  </si>
  <si>
    <t xml:space="preserve"> Other adjustments</t>
  </si>
  <si>
    <t xml:space="preserve"> Net amount due to (from) Contractor</t>
  </si>
  <si>
    <t xml:space="preserve"> Recon amount due to/from calculation</t>
  </si>
  <si>
    <r>
      <t xml:space="preserve">1)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Total Medical Revenue includes Prospective and Prior Period Coverage (PPC) Capitation, </t>
    </r>
    <r>
      <rPr>
        <strike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Delivery Supplemental Payments, and Reinsurance Payments  for dates of service within the reconciliation time frame.</t>
    </r>
  </si>
  <si>
    <t>&lt;=1%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</si>
</sst>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.0000000_);_(&quot;$&quot;* \(#,##0.0000000\);_(&quot;$&quot;* &quot;-&quot;??_);_(@_)"/>
    <numFmt numFmtId="168" formatCode="_(&quot;$&quot;* #,##0_);_(&quot;$&quot;* \(#,##0\);_(&quot;$&quot;* &quot;-&quot;??_);_(@_)"/>
    <numFmt numFmtId="169" formatCode="&quot;$&quot;#,##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quotePrefix="1" applyFont="1" applyBorder="1" applyAlignment="1">
      <alignment horizontal="left"/>
    </xf>
    <xf numFmtId="0" fontId="5" fillId="0" borderId="0" xfId="0" applyFont="1"/>
    <xf numFmtId="0" fontId="5" fillId="0" borderId="8" xfId="0" applyFont="1" applyBorder="1"/>
    <xf numFmtId="0" fontId="5" fillId="0" borderId="7" xfId="0" applyFont="1" applyBorder="1"/>
    <xf numFmtId="0" fontId="3" fillId="0" borderId="0" xfId="0" applyFont="1"/>
    <xf numFmtId="0" fontId="3" fillId="0" borderId="8" xfId="0" applyFont="1" applyBorder="1"/>
    <xf numFmtId="0" fontId="5" fillId="0" borderId="9" xfId="0" quotePrefix="1" applyFont="1" applyBorder="1" applyAlignment="1">
      <alignment horizontal="left" vertical="top"/>
    </xf>
    <xf numFmtId="0" fontId="5" fillId="0" borderId="10" xfId="0" applyFont="1" applyBorder="1"/>
    <xf numFmtId="0" fontId="5" fillId="0" borderId="11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44" fontId="5" fillId="0" borderId="0" xfId="0" applyNumberFormat="1" applyFont="1"/>
    <xf numFmtId="44" fontId="5" fillId="0" borderId="1" xfId="0" applyNumberFormat="1" applyFont="1" applyBorder="1"/>
    <xf numFmtId="44" fontId="4" fillId="0" borderId="0" xfId="0" applyNumberFormat="1" applyFont="1"/>
    <xf numFmtId="10" fontId="5" fillId="0" borderId="0" xfId="3" applyNumberFormat="1" applyFont="1" applyFill="1"/>
    <xf numFmtId="165" fontId="5" fillId="0" borderId="0" xfId="3" applyNumberFormat="1" applyFont="1" applyFill="1"/>
    <xf numFmtId="44" fontId="5" fillId="0" borderId="0" xfId="3" applyNumberFormat="1" applyFont="1" applyFill="1"/>
    <xf numFmtId="7" fontId="5" fillId="0" borderId="0" xfId="4" applyNumberFormat="1" applyFont="1" applyFill="1"/>
    <xf numFmtId="43" fontId="5" fillId="0" borderId="0" xfId="0" applyNumberFormat="1" applyFont="1"/>
    <xf numFmtId="44" fontId="5" fillId="0" borderId="0" xfId="2" applyFont="1" applyFill="1" applyBorder="1"/>
    <xf numFmtId="10" fontId="5" fillId="0" borderId="0" xfId="3" applyNumberFormat="1" applyFont="1" applyFill="1" applyBorder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165" fontId="5" fillId="0" borderId="0" xfId="1" applyNumberFormat="1" applyFont="1" applyFill="1"/>
    <xf numFmtId="166" fontId="5" fillId="0" borderId="0" xfId="2" applyNumberFormat="1" applyFont="1" applyFill="1"/>
    <xf numFmtId="0" fontId="4" fillId="0" borderId="0" xfId="0" applyFont="1" applyAlignment="1">
      <alignment wrapText="1"/>
    </xf>
    <xf numFmtId="167" fontId="5" fillId="0" borderId="0" xfId="0" applyNumberFormat="1" applyFont="1"/>
    <xf numFmtId="44" fontId="5" fillId="0" borderId="3" xfId="0" applyNumberFormat="1" applyFont="1" applyBorder="1"/>
    <xf numFmtId="0" fontId="5" fillId="0" borderId="0" xfId="0" applyFont="1" applyAlignment="1">
      <alignment horizontal="center"/>
    </xf>
    <xf numFmtId="168" fontId="5" fillId="0" borderId="0" xfId="0" applyNumberFormat="1" applyFont="1"/>
    <xf numFmtId="168" fontId="5" fillId="0" borderId="0" xfId="2" applyNumberFormat="1" applyFont="1" applyFill="1"/>
    <xf numFmtId="9" fontId="5" fillId="0" borderId="0" xfId="0" applyNumberFormat="1" applyFont="1"/>
    <xf numFmtId="9" fontId="5" fillId="0" borderId="0" xfId="3" applyFont="1" applyFill="1" applyBorder="1"/>
    <xf numFmtId="169" fontId="5" fillId="0" borderId="0" xfId="2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4" fontId="4" fillId="2" borderId="0" xfId="0" applyNumberFormat="1" applyFont="1" applyFill="1"/>
    <xf numFmtId="0" fontId="6" fillId="0" borderId="0" xfId="0" applyFont="1"/>
    <xf numFmtId="44" fontId="7" fillId="0" borderId="2" xfId="3" applyNumberFormat="1" applyFont="1" applyFill="1" applyBorder="1"/>
    <xf numFmtId="0" fontId="4" fillId="2" borderId="0" xfId="0" applyFont="1" applyFill="1" applyAlignment="1">
      <alignment horizontal="left" wrapText="1"/>
    </xf>
    <xf numFmtId="166" fontId="5" fillId="0" borderId="0" xfId="0" applyNumberFormat="1" applyFont="1"/>
    <xf numFmtId="0" fontId="4" fillId="0" borderId="0" xfId="0" applyFont="1" applyAlignment="1">
      <alignment horizontal="center"/>
    </xf>
    <xf numFmtId="10" fontId="5" fillId="0" borderId="0" xfId="3" applyNumberFormat="1" applyFont="1"/>
    <xf numFmtId="165" fontId="5" fillId="0" borderId="0" xfId="3" applyNumberFormat="1" applyFont="1"/>
    <xf numFmtId="44" fontId="5" fillId="0" borderId="0" xfId="3" applyNumberFormat="1" applyFont="1"/>
    <xf numFmtId="7" fontId="5" fillId="0" borderId="0" xfId="4" applyNumberFormat="1" applyFont="1"/>
    <xf numFmtId="44" fontId="5" fillId="0" borderId="0" xfId="2" applyFont="1"/>
    <xf numFmtId="0" fontId="5" fillId="0" borderId="0" xfId="0" applyFont="1" applyAlignment="1">
      <alignment horizontal="left"/>
    </xf>
    <xf numFmtId="165" fontId="5" fillId="0" borderId="0" xfId="1" applyNumberFormat="1" applyFont="1"/>
    <xf numFmtId="166" fontId="5" fillId="0" borderId="0" xfId="2" applyNumberFormat="1" applyFont="1"/>
    <xf numFmtId="168" fontId="5" fillId="0" borderId="0" xfId="2" applyNumberFormat="1" applyFont="1"/>
    <xf numFmtId="9" fontId="5" fillId="0" borderId="0" xfId="3" applyFont="1"/>
    <xf numFmtId="169" fontId="5" fillId="0" borderId="0" xfId="2" applyNumberFormat="1" applyFont="1" applyAlignment="1">
      <alignment horizontal="center"/>
    </xf>
    <xf numFmtId="9" fontId="5" fillId="0" borderId="0" xfId="0" quotePrefix="1" applyNumberFormat="1" applyFont="1"/>
    <xf numFmtId="49" fontId="5" fillId="0" borderId="0" xfId="0" quotePrefix="1" applyNumberFormat="1" applyFont="1"/>
    <xf numFmtId="0" fontId="6" fillId="2" borderId="0" xfId="0" applyFont="1" applyFill="1" applyAlignment="1">
      <alignment horizontal="left"/>
    </xf>
    <xf numFmtId="10" fontId="4" fillId="0" borderId="0" xfId="3" applyNumberFormat="1" applyFont="1"/>
    <xf numFmtId="0" fontId="4" fillId="0" borderId="0" xfId="0" applyFont="1" applyAlignment="1">
      <alignment horizontal="left"/>
    </xf>
    <xf numFmtId="10" fontId="4" fillId="0" borderId="0" xfId="3" applyNumberFormat="1" applyFont="1" applyFill="1"/>
    <xf numFmtId="0" fontId="4" fillId="2" borderId="0" xfId="0" applyFont="1" applyFill="1" applyAlignment="1">
      <alignment horizontal="left" vertical="center" wrapText="1"/>
    </xf>
    <xf numFmtId="44" fontId="4" fillId="2" borderId="0" xfId="0" applyNumberFormat="1" applyFont="1" applyFill="1" applyAlignment="1">
      <alignment vertical="center"/>
    </xf>
  </cellXfs>
  <cellStyles count="8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6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2F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Acute/CY12%20Cap%20Development/Cognos/Recons/2010/ProsRecon2010%20w%20Upd%20RI%20and%20Admin%20@%20bid%20Dynamic%20TX%20Model%20Rev%2007-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"/>
      <sheetName val="Condensed Summary"/>
      <sheetName val="Admin %"/>
      <sheetName val="Overall Summary"/>
      <sheetName val="APIPASummary"/>
      <sheetName val="APIPADetail"/>
      <sheetName val="Care1stSummary"/>
      <sheetName val="Care1stDetail"/>
      <sheetName val="BridgewaySummary"/>
      <sheetName val="BridgewayDetail"/>
      <sheetName val="HCASummary"/>
      <sheetName val="HCADetail"/>
      <sheetName val="MaricopaSummary"/>
      <sheetName val="MaricopaDetail"/>
      <sheetName val="MercySummary"/>
      <sheetName val="MercyDetail"/>
      <sheetName val="PHPSummary"/>
      <sheetName val="PHPDetail"/>
      <sheetName val="PimaSummary"/>
      <sheetName val="PimaDetail"/>
      <sheetName val="UFCSummary"/>
      <sheetName val="UFCDetail"/>
    </sheetNames>
    <sheetDataSet>
      <sheetData sheetId="0" refreshError="1"/>
      <sheetData sheetId="1" refreshError="1">
        <row r="4">
          <cell r="B4">
            <v>0.02</v>
          </cell>
        </row>
        <row r="6">
          <cell r="B6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FB01-DE5D-4D3C-9548-80C1D43ACF1E}">
  <sheetPr>
    <pageSetUpPr fitToPage="1"/>
  </sheetPr>
  <dimension ref="A1:P70"/>
  <sheetViews>
    <sheetView tabSelected="1" view="pageLayout" zoomScaleNormal="110" workbookViewId="0">
      <selection activeCell="A3" sqref="A3"/>
    </sheetView>
  </sheetViews>
  <sheetFormatPr defaultColWidth="9.140625" defaultRowHeight="15" x14ac:dyDescent="0.25"/>
  <cols>
    <col min="1" max="1" width="58.85546875" style="5" customWidth="1"/>
    <col min="2" max="2" width="25.28515625" style="5" bestFit="1" customWidth="1"/>
    <col min="3" max="3" width="23.140625" style="5" bestFit="1" customWidth="1"/>
    <col min="4" max="4" width="23.28515625" style="5" bestFit="1" customWidth="1"/>
    <col min="5" max="7" width="22" style="5" bestFit="1" customWidth="1"/>
    <col min="8" max="8" width="22.85546875" style="5" bestFit="1" customWidth="1"/>
    <col min="9" max="9" width="22" style="5" bestFit="1" customWidth="1"/>
    <col min="10" max="10" width="23.5703125" style="5" bestFit="1" customWidth="1"/>
    <col min="11" max="11" width="22" style="5" bestFit="1" customWidth="1"/>
    <col min="12" max="12" width="19.42578125" style="5" customWidth="1"/>
    <col min="13" max="13" width="30.28515625" style="5" customWidth="1"/>
    <col min="14" max="14" width="20.140625" style="5" bestFit="1" customWidth="1"/>
    <col min="15" max="15" width="12.85546875" style="5" bestFit="1" customWidth="1"/>
    <col min="16" max="16" width="10.7109375" style="5" bestFit="1" customWidth="1"/>
    <col min="17" max="16384" width="9.140625" style="5"/>
  </cols>
  <sheetData>
    <row r="1" spans="1:16" ht="66" customHeight="1" x14ac:dyDescent="0.25">
      <c r="A1" s="41"/>
      <c r="B1" s="42" t="s">
        <v>16</v>
      </c>
      <c r="C1" s="42" t="s">
        <v>17</v>
      </c>
      <c r="D1" s="43" t="s">
        <v>18</v>
      </c>
      <c r="E1" s="43" t="s">
        <v>19</v>
      </c>
      <c r="F1" s="44" t="s">
        <v>20</v>
      </c>
      <c r="G1" s="44" t="s">
        <v>21</v>
      </c>
      <c r="H1" s="44" t="s">
        <v>26</v>
      </c>
      <c r="I1" s="44" t="s">
        <v>27</v>
      </c>
      <c r="J1" s="44" t="s">
        <v>24</v>
      </c>
      <c r="K1" s="44" t="s">
        <v>25</v>
      </c>
      <c r="L1" s="44" t="s">
        <v>22</v>
      </c>
      <c r="M1" s="42" t="s">
        <v>0</v>
      </c>
    </row>
    <row r="2" spans="1:16" x14ac:dyDescent="0.25">
      <c r="A2" s="13"/>
      <c r="B2" s="14"/>
      <c r="C2" s="14"/>
      <c r="D2" s="51"/>
      <c r="E2" s="51"/>
      <c r="F2" s="14"/>
      <c r="G2" s="14"/>
      <c r="H2" s="14"/>
      <c r="I2" s="14"/>
      <c r="J2" s="14"/>
      <c r="K2" s="14"/>
      <c r="L2" s="14"/>
      <c r="M2" s="14"/>
    </row>
    <row r="3" spans="1:16" x14ac:dyDescent="0.25">
      <c r="A3" s="13" t="s">
        <v>30</v>
      </c>
      <c r="B3" s="14"/>
      <c r="C3" s="14"/>
      <c r="D3" s="51"/>
      <c r="E3" s="51"/>
      <c r="F3" s="14"/>
      <c r="G3" s="14"/>
      <c r="H3" s="14"/>
      <c r="I3" s="14"/>
      <c r="J3" s="14"/>
      <c r="K3" s="14"/>
      <c r="L3" s="14"/>
      <c r="M3" s="14"/>
    </row>
    <row r="4" spans="1:16" x14ac:dyDescent="0.25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>
        <f>+SUM(B4:L4)</f>
        <v>0</v>
      </c>
    </row>
    <row r="5" spans="1:16" x14ac:dyDescent="0.25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>
        <f>+SUM(B5:L5)</f>
        <v>0</v>
      </c>
    </row>
    <row r="6" spans="1:16" x14ac:dyDescent="0.25">
      <c r="A6" s="17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>
        <f>+SUM(B6:L6)</f>
        <v>0</v>
      </c>
    </row>
    <row r="7" spans="1:16" x14ac:dyDescent="0.25">
      <c r="A7" s="17" t="s">
        <v>31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>
        <f>+SUM(B7:L7)</f>
        <v>0</v>
      </c>
    </row>
    <row r="8" spans="1:16" x14ac:dyDescent="0.25">
      <c r="A8" s="17" t="s">
        <v>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>
        <f>+SUM(B8:L8)</f>
        <v>0</v>
      </c>
      <c r="N8" s="18"/>
      <c r="O8" s="18"/>
      <c r="P8" s="18"/>
    </row>
    <row r="9" spans="1:16" x14ac:dyDescent="0.25">
      <c r="A9" s="17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>
        <f>SUM(B9:L9)</f>
        <v>0</v>
      </c>
      <c r="O9" s="18"/>
    </row>
    <row r="10" spans="1:16" x14ac:dyDescent="0.25">
      <c r="A10" s="13" t="s">
        <v>29</v>
      </c>
      <c r="B10" s="20">
        <f t="shared" ref="B10:M10" si="0">SUM(B4:B6,B7)-B8-B9</f>
        <v>0</v>
      </c>
      <c r="C10" s="20">
        <f t="shared" si="0"/>
        <v>0</v>
      </c>
      <c r="D10" s="20">
        <f t="shared" si="0"/>
        <v>0</v>
      </c>
      <c r="E10" s="20">
        <f t="shared" si="0"/>
        <v>0</v>
      </c>
      <c r="F10" s="20">
        <f t="shared" si="0"/>
        <v>0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0</v>
      </c>
      <c r="K10" s="20">
        <f t="shared" si="0"/>
        <v>0</v>
      </c>
      <c r="L10" s="20">
        <f t="shared" si="0"/>
        <v>0</v>
      </c>
      <c r="M10" s="20">
        <f t="shared" si="0"/>
        <v>0</v>
      </c>
    </row>
    <row r="11" spans="1:16" x14ac:dyDescent="0.25">
      <c r="A11" s="1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6" x14ac:dyDescent="0.25">
      <c r="A12" s="13" t="s">
        <v>32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6" x14ac:dyDescent="0.25">
      <c r="A13" s="17" t="s">
        <v>33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>
        <f>+SUM(B13:L13)</f>
        <v>0</v>
      </c>
      <c r="O13" s="18"/>
    </row>
    <row r="14" spans="1:16" x14ac:dyDescent="0.25">
      <c r="A14" s="17" t="s">
        <v>35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>
        <f>+SUM(B14:L14)</f>
        <v>0</v>
      </c>
      <c r="O14" s="18"/>
    </row>
    <row r="15" spans="1:16" x14ac:dyDescent="0.25">
      <c r="A15" s="17" t="s">
        <v>55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f>+SUM(B15:L15)</f>
        <v>0</v>
      </c>
    </row>
    <row r="16" spans="1:16" x14ac:dyDescent="0.25">
      <c r="A16" s="17" t="s">
        <v>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+SUM(B16:L16)</f>
        <v>0</v>
      </c>
    </row>
    <row r="17" spans="1:14" x14ac:dyDescent="0.25">
      <c r="A17" s="13" t="s">
        <v>34</v>
      </c>
      <c r="B17" s="20">
        <f t="shared" ref="B17:M17" si="1">SUM(B13:B15)-B16</f>
        <v>0</v>
      </c>
      <c r="C17" s="20">
        <f t="shared" si="1"/>
        <v>0</v>
      </c>
      <c r="D17" s="20">
        <f t="shared" si="1"/>
        <v>0</v>
      </c>
      <c r="E17" s="20">
        <f t="shared" si="1"/>
        <v>0</v>
      </c>
      <c r="F17" s="20">
        <f t="shared" si="1"/>
        <v>0</v>
      </c>
      <c r="G17" s="20">
        <f t="shared" si="1"/>
        <v>0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20">
        <f t="shared" si="1"/>
        <v>0</v>
      </c>
      <c r="L17" s="20">
        <f t="shared" si="1"/>
        <v>0</v>
      </c>
      <c r="M17" s="20">
        <f t="shared" si="1"/>
        <v>0</v>
      </c>
      <c r="N17" s="18"/>
    </row>
    <row r="18" spans="1:14" x14ac:dyDescent="0.25">
      <c r="A18" s="1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s="13" customFormat="1" x14ac:dyDescent="0.25">
      <c r="A19" s="13" t="s">
        <v>61</v>
      </c>
      <c r="B19" s="20">
        <f t="shared" ref="B19:J19" si="2">B17*0.01</f>
        <v>0</v>
      </c>
      <c r="C19" s="20">
        <f t="shared" si="2"/>
        <v>0</v>
      </c>
      <c r="D19" s="20">
        <f t="shared" si="2"/>
        <v>0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v>0</v>
      </c>
      <c r="L19" s="20">
        <f>L17*0.01</f>
        <v>0</v>
      </c>
      <c r="M19" s="20">
        <f>+SUM(B19:L19)</f>
        <v>0</v>
      </c>
    </row>
    <row r="20" spans="1:14" x14ac:dyDescent="0.25">
      <c r="A20" s="13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4" ht="30" x14ac:dyDescent="0.25">
      <c r="A21" s="49" t="s">
        <v>36</v>
      </c>
      <c r="B21" s="46">
        <f t="shared" ref="B21:M21" si="3">B10-B17-B19</f>
        <v>0</v>
      </c>
      <c r="C21" s="46">
        <f t="shared" si="3"/>
        <v>0</v>
      </c>
      <c r="D21" s="46">
        <f t="shared" si="3"/>
        <v>0</v>
      </c>
      <c r="E21" s="46">
        <f t="shared" si="3"/>
        <v>0</v>
      </c>
      <c r="F21" s="46">
        <f t="shared" si="3"/>
        <v>0</v>
      </c>
      <c r="G21" s="46">
        <f t="shared" si="3"/>
        <v>0</v>
      </c>
      <c r="H21" s="46">
        <f t="shared" si="3"/>
        <v>0</v>
      </c>
      <c r="I21" s="46">
        <f t="shared" si="3"/>
        <v>0</v>
      </c>
      <c r="J21" s="46">
        <f t="shared" si="3"/>
        <v>0</v>
      </c>
      <c r="K21" s="46">
        <f t="shared" si="3"/>
        <v>0</v>
      </c>
      <c r="L21" s="46">
        <f t="shared" si="3"/>
        <v>0</v>
      </c>
      <c r="M21" s="46">
        <f t="shared" si="3"/>
        <v>0</v>
      </c>
    </row>
    <row r="22" spans="1:14" s="13" customFormat="1" x14ac:dyDescent="0.25">
      <c r="A22" s="13" t="s">
        <v>37</v>
      </c>
      <c r="B22" s="66">
        <f t="shared" ref="B22:M22" si="4">IF(B10=0,0,B21/B10)</f>
        <v>0</v>
      </c>
      <c r="C22" s="66">
        <f t="shared" si="4"/>
        <v>0</v>
      </c>
      <c r="D22" s="66">
        <f t="shared" si="4"/>
        <v>0</v>
      </c>
      <c r="E22" s="66">
        <f t="shared" si="4"/>
        <v>0</v>
      </c>
      <c r="F22" s="66">
        <f t="shared" si="4"/>
        <v>0</v>
      </c>
      <c r="G22" s="66">
        <f t="shared" si="4"/>
        <v>0</v>
      </c>
      <c r="H22" s="66">
        <f t="shared" si="4"/>
        <v>0</v>
      </c>
      <c r="I22" s="66">
        <f t="shared" si="4"/>
        <v>0</v>
      </c>
      <c r="J22" s="66">
        <f t="shared" si="4"/>
        <v>0</v>
      </c>
      <c r="K22" s="66">
        <f t="shared" si="4"/>
        <v>0</v>
      </c>
      <c r="L22" s="66">
        <f t="shared" si="4"/>
        <v>0</v>
      </c>
      <c r="M22" s="66">
        <f t="shared" si="4"/>
        <v>0</v>
      </c>
    </row>
    <row r="23" spans="1:14" x14ac:dyDescent="0.25">
      <c r="A23" s="5" t="s">
        <v>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>
        <f>+SUM(B23:J23)</f>
        <v>0</v>
      </c>
    </row>
    <row r="24" spans="1:14" x14ac:dyDescent="0.25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4" x14ac:dyDescent="0.25">
      <c r="A25" s="13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</row>
    <row r="26" spans="1:14" x14ac:dyDescent="0.25">
      <c r="A26" s="47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  <c r="M26" s="54"/>
    </row>
    <row r="27" spans="1:14" x14ac:dyDescent="0.25">
      <c r="A27" s="13"/>
      <c r="C27" s="25"/>
      <c r="M27" s="54"/>
    </row>
    <row r="28" spans="1:14" x14ac:dyDescent="0.25">
      <c r="A28" s="45" t="s">
        <v>23</v>
      </c>
      <c r="D28" s="18"/>
      <c r="E28" s="18"/>
      <c r="F28" s="18"/>
      <c r="M28" s="18"/>
    </row>
    <row r="29" spans="1:14" x14ac:dyDescent="0.25">
      <c r="A29" s="13"/>
      <c r="B29" s="56"/>
      <c r="C29" s="56"/>
      <c r="D29" s="52"/>
      <c r="F29" s="57"/>
      <c r="G29" s="57"/>
    </row>
    <row r="30" spans="1:14" x14ac:dyDescent="0.25">
      <c r="A30" s="29" t="s">
        <v>29</v>
      </c>
      <c r="B30" s="18">
        <f>M10</f>
        <v>0</v>
      </c>
      <c r="C30" s="58"/>
      <c r="D30" s="18"/>
    </row>
    <row r="31" spans="1:14" x14ac:dyDescent="0.25">
      <c r="A31" s="5" t="s">
        <v>7</v>
      </c>
      <c r="B31" s="18">
        <f>M21</f>
        <v>0</v>
      </c>
      <c r="C31" s="18"/>
      <c r="D31" s="18"/>
    </row>
    <row r="32" spans="1:14" x14ac:dyDescent="0.25">
      <c r="A32" s="5" t="s">
        <v>37</v>
      </c>
      <c r="B32" s="52">
        <f>IF(B30=0,0,B31/B30)</f>
        <v>0</v>
      </c>
      <c r="C32" s="18"/>
      <c r="D32" s="18"/>
      <c r="E32" s="18"/>
    </row>
    <row r="33" spans="1:12" x14ac:dyDescent="0.25">
      <c r="B33" s="18"/>
      <c r="C33" s="18"/>
      <c r="D33" s="18"/>
    </row>
    <row r="34" spans="1:12" x14ac:dyDescent="0.25">
      <c r="B34" s="59"/>
      <c r="C34" s="18"/>
      <c r="D34" s="18"/>
    </row>
    <row r="35" spans="1:12" x14ac:dyDescent="0.25">
      <c r="D35" s="18"/>
      <c r="E35" s="18"/>
    </row>
    <row r="36" spans="1:12" x14ac:dyDescent="0.25">
      <c r="A36" s="13" t="s">
        <v>38</v>
      </c>
      <c r="B36" s="18">
        <f>IF(B31&gt;0,-SUM(E45:E48),-SUM(E55:E59))</f>
        <v>0</v>
      </c>
      <c r="C36" s="50"/>
      <c r="D36" s="18"/>
      <c r="E36" s="18"/>
      <c r="F36" s="18"/>
      <c r="I36" s="18"/>
      <c r="J36" s="18"/>
      <c r="K36" s="18"/>
    </row>
    <row r="37" spans="1:12" x14ac:dyDescent="0.25">
      <c r="A37" s="13"/>
      <c r="B37" s="18"/>
      <c r="D37" s="18"/>
      <c r="E37" s="18"/>
      <c r="I37" s="18"/>
      <c r="J37" s="18"/>
      <c r="K37" s="18"/>
    </row>
    <row r="38" spans="1:12" x14ac:dyDescent="0.25">
      <c r="A38" s="13" t="s">
        <v>39</v>
      </c>
      <c r="B38" s="18"/>
      <c r="D38" s="18"/>
      <c r="E38" s="18"/>
    </row>
    <row r="39" spans="1:12" x14ac:dyDescent="0.25">
      <c r="A39" s="32"/>
      <c r="B39" s="18"/>
      <c r="D39" s="18"/>
      <c r="E39" s="18"/>
    </row>
    <row r="40" spans="1:12" x14ac:dyDescent="0.25">
      <c r="A40" s="13" t="s">
        <v>40</v>
      </c>
      <c r="B40" s="18">
        <f>SUM(B36,B38)/0.98-SUM(B36,B38)</f>
        <v>0</v>
      </c>
      <c r="C40" s="33"/>
      <c r="D40" s="18"/>
    </row>
    <row r="41" spans="1:12" ht="15.75" thickBot="1" x14ac:dyDescent="0.3">
      <c r="A41" s="13" t="s">
        <v>41</v>
      </c>
      <c r="B41" s="34">
        <f>SUM(B36+B38+B40)</f>
        <v>0</v>
      </c>
      <c r="F41" s="35"/>
      <c r="G41" s="35"/>
    </row>
    <row r="42" spans="1:12" ht="15.75" thickTop="1" x14ac:dyDescent="0.25">
      <c r="F42" s="35"/>
      <c r="G42" s="35"/>
      <c r="L42" s="35"/>
    </row>
    <row r="43" spans="1:12" x14ac:dyDescent="0.25">
      <c r="B43" s="18"/>
      <c r="C43" s="35"/>
      <c r="D43" s="35" t="s">
        <v>44</v>
      </c>
      <c r="E43" s="35"/>
      <c r="G43" s="36"/>
      <c r="H43" s="36"/>
      <c r="L43" s="60"/>
    </row>
    <row r="44" spans="1:12" x14ac:dyDescent="0.25">
      <c r="A44" s="13" t="s">
        <v>42</v>
      </c>
      <c r="B44" s="5" t="s">
        <v>8</v>
      </c>
      <c r="C44" s="35" t="s">
        <v>9</v>
      </c>
      <c r="D44" s="35" t="s">
        <v>45</v>
      </c>
      <c r="E44" s="35" t="s">
        <v>10</v>
      </c>
      <c r="G44" s="35" t="s">
        <v>11</v>
      </c>
      <c r="H44" s="36"/>
      <c r="L44" s="60"/>
    </row>
    <row r="45" spans="1:12" x14ac:dyDescent="0.25">
      <c r="B45" s="38" t="s">
        <v>48</v>
      </c>
      <c r="C45" s="61">
        <v>0</v>
      </c>
      <c r="D45" s="60">
        <f>IF(G45&lt;=0,0,IF($B$30*0.02&gt;G45,G45,$B$30*0.02))</f>
        <v>0</v>
      </c>
      <c r="E45" s="60">
        <f>+C45*D45</f>
        <v>0</v>
      </c>
      <c r="G45" s="36">
        <f>+IF(B31&lt;0,0,B31)</f>
        <v>0</v>
      </c>
      <c r="H45" s="59"/>
      <c r="L45" s="60"/>
    </row>
    <row r="46" spans="1:12" x14ac:dyDescent="0.25">
      <c r="B46" s="38" t="s">
        <v>47</v>
      </c>
      <c r="C46" s="61">
        <v>0.25</v>
      </c>
      <c r="D46" s="60">
        <f>IF(G46&lt;=0,0,IF($B$30*0.02&gt;G46,G46,$B$30*0.02))</f>
        <v>0</v>
      </c>
      <c r="E46" s="60">
        <f>+C46*D46</f>
        <v>0</v>
      </c>
      <c r="G46" s="36">
        <f>+G45-D45</f>
        <v>0</v>
      </c>
      <c r="H46" s="36"/>
      <c r="L46" s="60"/>
    </row>
    <row r="47" spans="1:12" x14ac:dyDescent="0.25">
      <c r="B47" s="38" t="s">
        <v>54</v>
      </c>
      <c r="C47" s="61">
        <v>0.75</v>
      </c>
      <c r="D47" s="60">
        <f>IF(G47&lt;=0,0,IF($B$30*0.03&gt;G47,G47,$B$30*0.03))</f>
        <v>0</v>
      </c>
      <c r="E47" s="60">
        <f>+C47*D47</f>
        <v>0</v>
      </c>
      <c r="G47" s="36">
        <f>+G46-D46</f>
        <v>0</v>
      </c>
      <c r="H47" s="36"/>
      <c r="L47" s="60"/>
    </row>
    <row r="48" spans="1:12" x14ac:dyDescent="0.25">
      <c r="B48" s="38" t="s">
        <v>46</v>
      </c>
      <c r="C48" s="61">
        <v>1</v>
      </c>
      <c r="D48" s="60">
        <f>IF(G48&lt;=0,0,IF($B$30*0.93&gt;G48,G48,$B$30*0.93))</f>
        <v>0</v>
      </c>
      <c r="E48" s="60">
        <f>+C48*D48</f>
        <v>0</v>
      </c>
      <c r="G48" s="36">
        <f>+G47-D47</f>
        <v>0</v>
      </c>
      <c r="H48" s="36"/>
      <c r="L48" s="60"/>
    </row>
    <row r="49" spans="1:12" x14ac:dyDescent="0.25">
      <c r="B49" s="38"/>
      <c r="C49" s="61"/>
      <c r="D49" s="60"/>
      <c r="E49" s="60"/>
    </row>
    <row r="50" spans="1:12" x14ac:dyDescent="0.25">
      <c r="B50" s="38"/>
      <c r="C50" s="61"/>
      <c r="D50" s="60"/>
      <c r="E50" s="60"/>
    </row>
    <row r="51" spans="1:12" x14ac:dyDescent="0.25">
      <c r="B51" s="38"/>
      <c r="C51" s="38"/>
      <c r="E51" s="36"/>
      <c r="F51" s="35"/>
      <c r="G51" s="35"/>
      <c r="L51" s="62"/>
    </row>
    <row r="52" spans="1:12" x14ac:dyDescent="0.25">
      <c r="F52" s="35"/>
      <c r="G52" s="35"/>
      <c r="L52" s="62"/>
    </row>
    <row r="53" spans="1:12" x14ac:dyDescent="0.25">
      <c r="B53" s="18"/>
      <c r="C53" s="35"/>
      <c r="D53" s="35" t="s">
        <v>49</v>
      </c>
      <c r="E53" s="35"/>
      <c r="G53" s="36"/>
      <c r="H53" s="36"/>
      <c r="L53" s="60"/>
    </row>
    <row r="54" spans="1:12" x14ac:dyDescent="0.25">
      <c r="A54" s="13" t="s">
        <v>42</v>
      </c>
      <c r="B54" s="5" t="s">
        <v>13</v>
      </c>
      <c r="C54" s="35" t="s">
        <v>9</v>
      </c>
      <c r="D54" s="35" t="s">
        <v>45</v>
      </c>
      <c r="E54" s="35" t="s">
        <v>14</v>
      </c>
      <c r="G54" s="35" t="s">
        <v>11</v>
      </c>
      <c r="H54" s="36"/>
      <c r="L54" s="60"/>
    </row>
    <row r="55" spans="1:12" x14ac:dyDescent="0.25">
      <c r="B55" s="38" t="s">
        <v>50</v>
      </c>
      <c r="C55" s="61">
        <v>0</v>
      </c>
      <c r="D55" s="60">
        <f>IF(G55&gt;=0,0,IF(-$B$30*0.01&lt;G55,G55,-$B$30*0.01))</f>
        <v>0</v>
      </c>
      <c r="E55" s="60">
        <f>+C55*D55</f>
        <v>0</v>
      </c>
      <c r="G55" s="36">
        <f>+IF(B31&gt;0,0,B31)</f>
        <v>0</v>
      </c>
      <c r="H55" s="36"/>
      <c r="L55" s="60"/>
    </row>
    <row r="56" spans="1:12" x14ac:dyDescent="0.25">
      <c r="B56" s="63" t="s">
        <v>56</v>
      </c>
      <c r="C56" s="61">
        <v>0.25</v>
      </c>
      <c r="D56" s="60">
        <f>IF(G56&gt;=0,0,IF(-$B$30*0.01&lt;G56,G56,-$B$30*0.01))</f>
        <v>0</v>
      </c>
      <c r="E56" s="60">
        <f>+C56*D56</f>
        <v>0</v>
      </c>
      <c r="G56" s="36">
        <f>G55-D55</f>
        <v>0</v>
      </c>
      <c r="H56" s="36"/>
      <c r="L56" s="60"/>
    </row>
    <row r="57" spans="1:12" x14ac:dyDescent="0.25">
      <c r="B57" s="64" t="s">
        <v>51</v>
      </c>
      <c r="C57" s="61">
        <v>0.5</v>
      </c>
      <c r="D57" s="60">
        <f>IF(G57&gt;=0,0,IF(-$B$30*0.01&lt;G57,G57,-$B$30*0.01))</f>
        <v>0</v>
      </c>
      <c r="E57" s="60">
        <f>+C57*D57</f>
        <v>0</v>
      </c>
      <c r="G57" s="36">
        <f>G56-D56</f>
        <v>0</v>
      </c>
      <c r="H57" s="36"/>
      <c r="L57" s="60"/>
    </row>
    <row r="58" spans="1:12" x14ac:dyDescent="0.25">
      <c r="B58" s="64" t="s">
        <v>52</v>
      </c>
      <c r="C58" s="61">
        <v>0.75</v>
      </c>
      <c r="D58" s="60">
        <f>IF(G58&gt;=0,0,IF(-$B$30*0.01&lt;G58,G58,$B$30*0.01))</f>
        <v>0</v>
      </c>
      <c r="E58" s="60">
        <f>+C58*D58</f>
        <v>0</v>
      </c>
      <c r="G58" s="36">
        <f>G57-D57</f>
        <v>0</v>
      </c>
      <c r="H58" s="36"/>
      <c r="L58" s="60"/>
    </row>
    <row r="59" spans="1:12" x14ac:dyDescent="0.25">
      <c r="B59" s="38" t="s">
        <v>53</v>
      </c>
      <c r="C59" s="61">
        <v>1</v>
      </c>
      <c r="D59" s="60">
        <f>IF(G59&gt;=0,0,IF(-$B$30*0.96&lt;G59,G59,-$B$30*0.96))</f>
        <v>0</v>
      </c>
      <c r="E59" s="60">
        <f>+C59*D59</f>
        <v>0</v>
      </c>
      <c r="G59" s="36">
        <f>G58-D58</f>
        <v>0</v>
      </c>
      <c r="H59" s="36"/>
    </row>
    <row r="60" spans="1:12" x14ac:dyDescent="0.25">
      <c r="B60" s="38"/>
      <c r="C60" s="61"/>
      <c r="D60" s="60"/>
      <c r="E60" s="60"/>
      <c r="H60" s="36"/>
    </row>
    <row r="61" spans="1:12" x14ac:dyDescent="0.25">
      <c r="B61" s="38"/>
      <c r="C61" s="61"/>
      <c r="D61" s="60"/>
      <c r="E61" s="60"/>
    </row>
    <row r="62" spans="1:12" x14ac:dyDescent="0.25">
      <c r="B62" s="38"/>
      <c r="C62" s="61"/>
      <c r="D62" s="60"/>
      <c r="E62" s="60"/>
    </row>
    <row r="63" spans="1:12" ht="15.75" thickBot="1" x14ac:dyDescent="0.3"/>
    <row r="64" spans="1:12" x14ac:dyDescent="0.25">
      <c r="A64" s="1" t="s">
        <v>43</v>
      </c>
      <c r="B64" s="2"/>
      <c r="C64" s="2"/>
      <c r="D64" s="2"/>
      <c r="E64" s="2"/>
      <c r="F64" s="3"/>
    </row>
    <row r="65" spans="1:8" x14ac:dyDescent="0.25">
      <c r="A65" s="4" t="s">
        <v>62</v>
      </c>
      <c r="F65" s="6"/>
    </row>
    <row r="66" spans="1:8" x14ac:dyDescent="0.25">
      <c r="A66" s="7" t="s">
        <v>57</v>
      </c>
      <c r="F66" s="6"/>
    </row>
    <row r="67" spans="1:8" x14ac:dyDescent="0.25">
      <c r="A67" s="7" t="s">
        <v>60</v>
      </c>
      <c r="C67" s="8"/>
      <c r="D67" s="8"/>
      <c r="E67" s="8"/>
      <c r="F67" s="9"/>
      <c r="G67" s="8"/>
      <c r="H67" s="8"/>
    </row>
    <row r="68" spans="1:8" x14ac:dyDescent="0.25">
      <c r="A68" s="7" t="s">
        <v>58</v>
      </c>
      <c r="F68" s="6"/>
    </row>
    <row r="69" spans="1:8" ht="15" customHeight="1" thickBot="1" x14ac:dyDescent="0.3">
      <c r="A69" s="10" t="s">
        <v>59</v>
      </c>
      <c r="B69" s="11"/>
      <c r="C69" s="11"/>
      <c r="D69" s="11"/>
      <c r="E69" s="11"/>
      <c r="F69" s="12"/>
    </row>
    <row r="70" spans="1:8" ht="12" customHeight="1" x14ac:dyDescent="0.25"/>
  </sheetData>
  <pageMargins left="0.75" right="0.75" top="1" bottom="1" header="0.5" footer="0.5"/>
  <pageSetup scale="35" orientation="landscape" r:id="rId1"/>
  <headerFooter alignWithMargins="0">
    <oddHeader xml:space="preserve">&amp;L&amp;G&amp;C&amp;"-,Bold"&amp;12&amp;K2F8DCBAHCCCS CONTRACTOR OPERATIONS MANUAL
 POLICY 311 - ATTACHMENT A -
ACC and ACC-RBHA PROGRAM TIERED RECONCILIATION - EXAMPLE
FOR THE CONTRACT YEAR ENDED 09/30/xx
AS OF: xx/xx/xx
</oddHeader>
    <oddFooter>&amp;L&amp;"-,Regular"&amp;K2F8DCBEffective Dates: 10/01/24
Approval Dates: 05/14/24&amp;C&amp;"-,Bold"&amp;11&amp;K2F8DCB 311 - Attachment A - 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view="pageLayout" topLeftCell="A85" zoomScale="160" zoomScaleNormal="120" zoomScalePageLayoutView="160" workbookViewId="0">
      <selection activeCell="B55" sqref="B55"/>
    </sheetView>
  </sheetViews>
  <sheetFormatPr defaultColWidth="9.140625" defaultRowHeight="15" x14ac:dyDescent="0.25"/>
  <cols>
    <col min="1" max="1" width="88.85546875" style="5" customWidth="1"/>
    <col min="2" max="2" width="25.28515625" style="5" bestFit="1" customWidth="1"/>
    <col min="3" max="3" width="23.140625" style="5" bestFit="1" customWidth="1"/>
    <col min="4" max="4" width="23.28515625" style="5" bestFit="1" customWidth="1"/>
    <col min="5" max="7" width="22" style="5" bestFit="1" customWidth="1"/>
    <col min="8" max="8" width="22.85546875" style="5" bestFit="1" customWidth="1"/>
    <col min="9" max="9" width="22" style="5" bestFit="1" customWidth="1"/>
    <col min="10" max="10" width="23.5703125" style="5" bestFit="1" customWidth="1"/>
    <col min="11" max="11" width="22" style="5" bestFit="1" customWidth="1"/>
    <col min="12" max="12" width="19.42578125" style="5" customWidth="1"/>
    <col min="13" max="13" width="30.28515625" style="5" customWidth="1"/>
    <col min="14" max="14" width="20.140625" style="5" bestFit="1" customWidth="1"/>
    <col min="15" max="15" width="12.85546875" style="5" bestFit="1" customWidth="1"/>
    <col min="16" max="16" width="10.7109375" style="5" bestFit="1" customWidth="1"/>
    <col min="17" max="16384" width="9.140625" style="5"/>
  </cols>
  <sheetData>
    <row r="1" spans="1:16" ht="66" customHeight="1" x14ac:dyDescent="0.25">
      <c r="A1" s="41"/>
      <c r="B1" s="42" t="s">
        <v>16</v>
      </c>
      <c r="C1" s="42" t="s">
        <v>17</v>
      </c>
      <c r="D1" s="43" t="s">
        <v>18</v>
      </c>
      <c r="E1" s="43" t="s">
        <v>19</v>
      </c>
      <c r="F1" s="44" t="s">
        <v>20</v>
      </c>
      <c r="G1" s="44" t="s">
        <v>21</v>
      </c>
      <c r="H1" s="44" t="s">
        <v>26</v>
      </c>
      <c r="I1" s="44" t="s">
        <v>27</v>
      </c>
      <c r="J1" s="44" t="s">
        <v>24</v>
      </c>
      <c r="K1" s="44" t="s">
        <v>25</v>
      </c>
      <c r="L1" s="44" t="s">
        <v>22</v>
      </c>
      <c r="M1" s="42" t="s">
        <v>0</v>
      </c>
    </row>
    <row r="2" spans="1:16" x14ac:dyDescent="0.25">
      <c r="A2" s="13"/>
      <c r="B2" s="14"/>
      <c r="C2" s="14"/>
      <c r="D2" s="15"/>
      <c r="E2" s="15"/>
      <c r="F2" s="14"/>
      <c r="G2" s="14"/>
      <c r="H2" s="16"/>
      <c r="I2" s="14"/>
      <c r="J2" s="14"/>
      <c r="K2" s="14"/>
      <c r="L2" s="14"/>
      <c r="M2" s="14"/>
    </row>
    <row r="3" spans="1:16" x14ac:dyDescent="0.25">
      <c r="A3" s="13" t="s">
        <v>30</v>
      </c>
      <c r="B3" s="14"/>
      <c r="C3" s="14"/>
      <c r="D3" s="15"/>
      <c r="E3" s="15"/>
      <c r="F3" s="14"/>
      <c r="G3" s="14"/>
      <c r="H3" s="16"/>
      <c r="I3" s="14"/>
      <c r="J3" s="14"/>
      <c r="K3" s="14"/>
      <c r="L3" s="14"/>
      <c r="M3" s="14"/>
    </row>
    <row r="4" spans="1:16" x14ac:dyDescent="0.25">
      <c r="A4" s="17" t="s">
        <v>1</v>
      </c>
      <c r="B4" s="18">
        <v>58400000</v>
      </c>
      <c r="C4" s="18">
        <v>128300000</v>
      </c>
      <c r="D4" s="18">
        <v>102700000</v>
      </c>
      <c r="E4" s="18">
        <v>41500000</v>
      </c>
      <c r="F4" s="18">
        <v>40000000</v>
      </c>
      <c r="G4" s="18">
        <v>29200000</v>
      </c>
      <c r="H4" s="18">
        <v>112300000</v>
      </c>
      <c r="I4" s="18">
        <v>60000000</v>
      </c>
      <c r="J4" s="18">
        <f>373600000</f>
        <v>373600000</v>
      </c>
      <c r="K4" s="18">
        <v>39600000</v>
      </c>
      <c r="L4" s="18">
        <v>0</v>
      </c>
      <c r="M4" s="18">
        <f>+SUM(B4:L4)</f>
        <v>985600000</v>
      </c>
    </row>
    <row r="5" spans="1:16" x14ac:dyDescent="0.25">
      <c r="A5" s="17" t="s">
        <v>15</v>
      </c>
      <c r="B5" s="18">
        <v>550000</v>
      </c>
      <c r="C5" s="18">
        <v>7532000</v>
      </c>
      <c r="D5" s="18">
        <v>15325000</v>
      </c>
      <c r="E5" s="18">
        <v>750000</v>
      </c>
      <c r="F5" s="18">
        <v>2555000</v>
      </c>
      <c r="G5" s="18">
        <v>0</v>
      </c>
      <c r="H5" s="18">
        <v>755000</v>
      </c>
      <c r="I5" s="18">
        <v>699000</v>
      </c>
      <c r="J5" s="18">
        <f>3577750</f>
        <v>3577750</v>
      </c>
      <c r="K5" s="18">
        <v>0</v>
      </c>
      <c r="L5" s="18"/>
      <c r="M5" s="18">
        <f>+SUM(B5:L5)</f>
        <v>31743750</v>
      </c>
    </row>
    <row r="6" spans="1:16" x14ac:dyDescent="0.25">
      <c r="A6" s="17" t="s">
        <v>2</v>
      </c>
      <c r="B6" s="18">
        <v>0</v>
      </c>
      <c r="C6" s="18">
        <v>0</v>
      </c>
      <c r="D6" s="18">
        <v>28400000</v>
      </c>
      <c r="E6" s="18">
        <v>0</v>
      </c>
      <c r="F6" s="18">
        <v>0</v>
      </c>
      <c r="G6" s="18">
        <v>100000</v>
      </c>
      <c r="H6" s="18">
        <v>700000</v>
      </c>
      <c r="I6" s="18">
        <v>0</v>
      </c>
      <c r="J6" s="18">
        <v>0</v>
      </c>
      <c r="K6" s="18">
        <v>0</v>
      </c>
      <c r="L6" s="18">
        <v>0</v>
      </c>
      <c r="M6" s="18">
        <f>+SUM(B6:L6)</f>
        <v>29200000</v>
      </c>
    </row>
    <row r="7" spans="1:16" x14ac:dyDescent="0.25">
      <c r="A7" s="67" t="s">
        <v>28</v>
      </c>
      <c r="B7" s="20">
        <f>9200000</f>
        <v>9200000</v>
      </c>
      <c r="C7" s="20">
        <v>4600000</v>
      </c>
      <c r="D7" s="20">
        <v>3300000</v>
      </c>
      <c r="E7" s="20">
        <v>4900000</v>
      </c>
      <c r="F7" s="20">
        <v>1300000</v>
      </c>
      <c r="G7" s="20">
        <v>300000</v>
      </c>
      <c r="H7" s="20">
        <v>21900000</v>
      </c>
      <c r="I7" s="20">
        <v>750000</v>
      </c>
      <c r="J7" s="20">
        <v>4950000</v>
      </c>
      <c r="K7" s="20">
        <v>0</v>
      </c>
      <c r="L7" s="20"/>
      <c r="M7" s="20">
        <f>SUM(B7:L7)</f>
        <v>51200000</v>
      </c>
    </row>
    <row r="8" spans="1:16" x14ac:dyDescent="0.25">
      <c r="A8" s="17" t="s">
        <v>3</v>
      </c>
      <c r="B8" s="18">
        <v>4400000</v>
      </c>
      <c r="C8" s="18">
        <v>9500000</v>
      </c>
      <c r="D8" s="18">
        <v>11342560</v>
      </c>
      <c r="E8" s="18">
        <v>3100000</v>
      </c>
      <c r="F8" s="18">
        <v>3100000</v>
      </c>
      <c r="G8" s="18">
        <v>2107840</v>
      </c>
      <c r="H8" s="18">
        <v>8254880</v>
      </c>
      <c r="I8" s="18">
        <v>2638400</v>
      </c>
      <c r="J8" s="18">
        <f>27900000</f>
        <v>27900000</v>
      </c>
      <c r="K8" s="18">
        <v>3084000</v>
      </c>
      <c r="L8" s="18">
        <v>0</v>
      </c>
      <c r="M8" s="18">
        <f>+SUM(B8:L8)</f>
        <v>75427680</v>
      </c>
      <c r="N8" s="18"/>
      <c r="O8" s="18"/>
      <c r="P8" s="18"/>
    </row>
    <row r="9" spans="1:16" x14ac:dyDescent="0.25">
      <c r="A9" s="17" t="s">
        <v>4</v>
      </c>
      <c r="B9" s="19">
        <f t="shared" ref="B9:L9" si="0">SUM(B4:B6,B7)*0.02</f>
        <v>1363000</v>
      </c>
      <c r="C9" s="19">
        <f t="shared" si="0"/>
        <v>2808640</v>
      </c>
      <c r="D9" s="19">
        <f t="shared" si="0"/>
        <v>2994500</v>
      </c>
      <c r="E9" s="19">
        <f t="shared" si="0"/>
        <v>943000</v>
      </c>
      <c r="F9" s="19">
        <f t="shared" si="0"/>
        <v>877100</v>
      </c>
      <c r="G9" s="19">
        <f t="shared" si="0"/>
        <v>592000</v>
      </c>
      <c r="H9" s="19">
        <f t="shared" si="0"/>
        <v>2713100</v>
      </c>
      <c r="I9" s="19">
        <f t="shared" si="0"/>
        <v>1228980</v>
      </c>
      <c r="J9" s="19">
        <f t="shared" si="0"/>
        <v>7642555</v>
      </c>
      <c r="K9" s="19">
        <f t="shared" si="0"/>
        <v>792000</v>
      </c>
      <c r="L9" s="19">
        <f t="shared" si="0"/>
        <v>0</v>
      </c>
      <c r="M9" s="19">
        <f>SUM(B9:L9)</f>
        <v>21954875</v>
      </c>
      <c r="O9" s="18"/>
    </row>
    <row r="10" spans="1:16" x14ac:dyDescent="0.25">
      <c r="A10" s="13" t="s">
        <v>29</v>
      </c>
      <c r="B10" s="20">
        <f t="shared" ref="B10:M10" si="1">SUM(B4:B6,B7)-B8-B9</f>
        <v>62387000</v>
      </c>
      <c r="C10" s="20">
        <f t="shared" si="1"/>
        <v>128123360</v>
      </c>
      <c r="D10" s="20">
        <f t="shared" si="1"/>
        <v>135387940</v>
      </c>
      <c r="E10" s="20">
        <f t="shared" si="1"/>
        <v>43107000</v>
      </c>
      <c r="F10" s="20">
        <f t="shared" si="1"/>
        <v>39877900</v>
      </c>
      <c r="G10" s="20">
        <f t="shared" si="1"/>
        <v>26900160</v>
      </c>
      <c r="H10" s="20">
        <f t="shared" si="1"/>
        <v>124687020</v>
      </c>
      <c r="I10" s="20">
        <f t="shared" si="1"/>
        <v>57581620</v>
      </c>
      <c r="J10" s="20">
        <f t="shared" si="1"/>
        <v>346585195</v>
      </c>
      <c r="K10" s="20">
        <f t="shared" si="1"/>
        <v>35724000</v>
      </c>
      <c r="L10" s="20">
        <f t="shared" si="1"/>
        <v>0</v>
      </c>
      <c r="M10" s="20">
        <f t="shared" si="1"/>
        <v>1000361195</v>
      </c>
    </row>
    <row r="11" spans="1:16" x14ac:dyDescent="0.25">
      <c r="A11" s="1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6" x14ac:dyDescent="0.25">
      <c r="A12" s="13" t="s">
        <v>32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6" x14ac:dyDescent="0.25">
      <c r="A13" s="17" t="s">
        <v>33</v>
      </c>
      <c r="B13" s="18">
        <f>58615000</f>
        <v>58615000</v>
      </c>
      <c r="C13" s="18">
        <v>109630000</v>
      </c>
      <c r="D13" s="18">
        <v>126550000</v>
      </c>
      <c r="E13" s="18">
        <v>41805000</v>
      </c>
      <c r="F13" s="18">
        <v>43630000</v>
      </c>
      <c r="G13" s="18">
        <v>25935000</v>
      </c>
      <c r="H13" s="18">
        <v>113240000</v>
      </c>
      <c r="I13" s="18">
        <v>45975000</v>
      </c>
      <c r="J13" s="18">
        <f>225750900</f>
        <v>225750900</v>
      </c>
      <c r="K13" s="18">
        <v>1875000</v>
      </c>
      <c r="L13" s="18"/>
      <c r="M13" s="18">
        <f t="shared" ref="M13:M16" si="2">+SUM(B13:L13)</f>
        <v>793005900</v>
      </c>
      <c r="O13" s="18"/>
    </row>
    <row r="14" spans="1:16" x14ac:dyDescent="0.25">
      <c r="A14" s="17" t="s">
        <v>64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f t="shared" si="2"/>
        <v>0</v>
      </c>
      <c r="O14" s="18"/>
    </row>
    <row r="15" spans="1:16" x14ac:dyDescent="0.25">
      <c r="A15" s="17" t="s">
        <v>55</v>
      </c>
      <c r="B15" s="18">
        <v>1000000</v>
      </c>
      <c r="C15" s="18">
        <v>500000</v>
      </c>
      <c r="D15" s="18">
        <v>500000</v>
      </c>
      <c r="E15" s="18">
        <v>700000</v>
      </c>
      <c r="F15" s="18">
        <v>100000</v>
      </c>
      <c r="G15" s="18">
        <v>600000</v>
      </c>
      <c r="H15" s="18">
        <v>900000</v>
      </c>
      <c r="I15" s="18">
        <v>400000</v>
      </c>
      <c r="J15" s="18">
        <f>98850000</f>
        <v>98850000</v>
      </c>
      <c r="K15" s="18">
        <v>30000000</v>
      </c>
      <c r="L15" s="18">
        <v>0</v>
      </c>
      <c r="M15" s="18">
        <f t="shared" si="2"/>
        <v>133550000</v>
      </c>
    </row>
    <row r="16" spans="1:16" x14ac:dyDescent="0.25">
      <c r="A16" s="17" t="s">
        <v>5</v>
      </c>
      <c r="B16" s="18">
        <v>0</v>
      </c>
      <c r="C16" s="18">
        <v>0</v>
      </c>
      <c r="D16" s="18">
        <v>0</v>
      </c>
      <c r="E16" s="18">
        <v>1500</v>
      </c>
      <c r="F16" s="18">
        <v>25000</v>
      </c>
      <c r="G16" s="18">
        <v>0</v>
      </c>
      <c r="H16" s="18">
        <v>0</v>
      </c>
      <c r="I16" s="18">
        <v>0</v>
      </c>
      <c r="J16" s="18">
        <v>300000</v>
      </c>
      <c r="K16" s="18">
        <v>0</v>
      </c>
      <c r="L16" s="18"/>
      <c r="M16" s="18">
        <f t="shared" si="2"/>
        <v>326500</v>
      </c>
    </row>
    <row r="17" spans="1:14" x14ac:dyDescent="0.25">
      <c r="A17" s="13" t="s">
        <v>34</v>
      </c>
      <c r="B17" s="20">
        <f>SUM(B13:B15)-B16</f>
        <v>59615000</v>
      </c>
      <c r="C17" s="20">
        <f t="shared" ref="C17:M17" si="3">SUM(C13:C15)-C16</f>
        <v>110130000</v>
      </c>
      <c r="D17" s="20">
        <f t="shared" si="3"/>
        <v>127050000</v>
      </c>
      <c r="E17" s="20">
        <f t="shared" si="3"/>
        <v>42503500</v>
      </c>
      <c r="F17" s="20">
        <f t="shared" si="3"/>
        <v>43705000</v>
      </c>
      <c r="G17" s="20">
        <f t="shared" si="3"/>
        <v>26535000</v>
      </c>
      <c r="H17" s="20">
        <f t="shared" si="3"/>
        <v>114140000</v>
      </c>
      <c r="I17" s="20">
        <f t="shared" si="3"/>
        <v>46375000</v>
      </c>
      <c r="J17" s="20">
        <f t="shared" si="3"/>
        <v>324300900</v>
      </c>
      <c r="K17" s="20">
        <f t="shared" si="3"/>
        <v>31875000</v>
      </c>
      <c r="L17" s="20">
        <f t="shared" si="3"/>
        <v>0</v>
      </c>
      <c r="M17" s="20">
        <f t="shared" si="3"/>
        <v>926229400</v>
      </c>
      <c r="N17" s="18"/>
    </row>
    <row r="18" spans="1:14" x14ac:dyDescent="0.25">
      <c r="A18" s="1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x14ac:dyDescent="0.25">
      <c r="A19" s="13" t="s">
        <v>61</v>
      </c>
      <c r="B19" s="20">
        <f>B17*0.01</f>
        <v>596150</v>
      </c>
      <c r="C19" s="20">
        <f t="shared" ref="C19:L19" si="4">C17*0.01</f>
        <v>1101300</v>
      </c>
      <c r="D19" s="20">
        <f t="shared" si="4"/>
        <v>1270500</v>
      </c>
      <c r="E19" s="20">
        <f t="shared" si="4"/>
        <v>425035</v>
      </c>
      <c r="F19" s="20">
        <f t="shared" si="4"/>
        <v>437050</v>
      </c>
      <c r="G19" s="20">
        <f t="shared" si="4"/>
        <v>265350</v>
      </c>
      <c r="H19" s="20">
        <f t="shared" si="4"/>
        <v>1141400</v>
      </c>
      <c r="I19" s="20">
        <f t="shared" si="4"/>
        <v>463750</v>
      </c>
      <c r="J19" s="20">
        <f t="shared" si="4"/>
        <v>3243009</v>
      </c>
      <c r="K19" s="20"/>
      <c r="L19" s="20">
        <f t="shared" si="4"/>
        <v>0</v>
      </c>
      <c r="M19" s="20">
        <f>+SUM(B19:L19)</f>
        <v>8943544</v>
      </c>
    </row>
    <row r="20" spans="1:14" x14ac:dyDescent="0.25">
      <c r="A20" s="13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4" ht="36" customHeight="1" x14ac:dyDescent="0.25">
      <c r="A21" s="49" t="s">
        <v>36</v>
      </c>
      <c r="B21" s="46">
        <f>B10-B17-B19</f>
        <v>2175850</v>
      </c>
      <c r="C21" s="46">
        <f t="shared" ref="C21:M21" si="5">C10-C17-C19</f>
        <v>16892060</v>
      </c>
      <c r="D21" s="46">
        <f t="shared" si="5"/>
        <v>7067440</v>
      </c>
      <c r="E21" s="46">
        <f t="shared" si="5"/>
        <v>178465</v>
      </c>
      <c r="F21" s="46">
        <f t="shared" si="5"/>
        <v>-4264150</v>
      </c>
      <c r="G21" s="46">
        <f t="shared" si="5"/>
        <v>99810</v>
      </c>
      <c r="H21" s="46">
        <f t="shared" si="5"/>
        <v>9405620</v>
      </c>
      <c r="I21" s="46">
        <f t="shared" si="5"/>
        <v>10742870</v>
      </c>
      <c r="J21" s="46">
        <f t="shared" si="5"/>
        <v>19041286</v>
      </c>
      <c r="K21" s="46">
        <f>K10-K17-K19</f>
        <v>3849000</v>
      </c>
      <c r="L21" s="46">
        <f t="shared" si="5"/>
        <v>0</v>
      </c>
      <c r="M21" s="46">
        <f t="shared" si="5"/>
        <v>65188251</v>
      </c>
    </row>
    <row r="22" spans="1:14" x14ac:dyDescent="0.25">
      <c r="A22" s="13" t="s">
        <v>37</v>
      </c>
      <c r="B22" s="68">
        <f>B21/B10</f>
        <v>3.4876656995848493E-2</v>
      </c>
      <c r="C22" s="68">
        <f t="shared" ref="C22:K22" si="6">C21/C10</f>
        <v>0.1318421558722781</v>
      </c>
      <c r="D22" s="68">
        <f t="shared" si="6"/>
        <v>5.22013999178952E-2</v>
      </c>
      <c r="E22" s="68">
        <f t="shared" si="6"/>
        <v>4.1400468601387247E-3</v>
      </c>
      <c r="F22" s="68">
        <f t="shared" si="6"/>
        <v>-0.10693015429598851</v>
      </c>
      <c r="G22" s="68">
        <f t="shared" si="6"/>
        <v>3.7103868527176048E-3</v>
      </c>
      <c r="H22" s="68">
        <f t="shared" si="6"/>
        <v>7.5433834251552409E-2</v>
      </c>
      <c r="I22" s="68">
        <f t="shared" si="6"/>
        <v>0.1865676929548005</v>
      </c>
      <c r="J22" s="68">
        <f t="shared" si="6"/>
        <v>5.4939698159928614E-2</v>
      </c>
      <c r="K22" s="68">
        <f t="shared" si="6"/>
        <v>0.10774269398723547</v>
      </c>
      <c r="L22" s="68">
        <f>IF(L10=0,0,L21/L10)</f>
        <v>0</v>
      </c>
      <c r="M22" s="68">
        <f>M21/M10</f>
        <v>6.5164713831187743E-2</v>
      </c>
    </row>
    <row r="23" spans="1:14" x14ac:dyDescent="0.25">
      <c r="A23" s="5" t="s">
        <v>6</v>
      </c>
      <c r="B23" s="22">
        <v>150000</v>
      </c>
      <c r="C23" s="22">
        <v>1410000</v>
      </c>
      <c r="D23" s="22">
        <v>670000</v>
      </c>
      <c r="E23" s="22">
        <v>320000</v>
      </c>
      <c r="F23" s="22">
        <v>120000</v>
      </c>
      <c r="G23" s="22">
        <v>250000</v>
      </c>
      <c r="H23" s="22">
        <v>210000</v>
      </c>
      <c r="I23" s="22">
        <v>50000</v>
      </c>
      <c r="J23" s="22">
        <v>15000</v>
      </c>
      <c r="K23" s="22">
        <v>3195000</v>
      </c>
      <c r="L23" s="22"/>
      <c r="M23" s="22">
        <f>SUM(B23:J23)</f>
        <v>3195000</v>
      </c>
    </row>
    <row r="24" spans="1:14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4" x14ac:dyDescent="0.25">
      <c r="A25" s="13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4" ht="15.75" thickBot="1" x14ac:dyDescent="0.3">
      <c r="A26" s="4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1"/>
      <c r="M26" s="48">
        <f>M21+M25</f>
        <v>65188251</v>
      </c>
    </row>
    <row r="27" spans="1:14" ht="15.75" thickTop="1" x14ac:dyDescent="0.25">
      <c r="A27" s="13"/>
      <c r="C27" s="25"/>
      <c r="M27" s="18"/>
    </row>
    <row r="28" spans="1:14" x14ac:dyDescent="0.25">
      <c r="A28" s="65" t="s">
        <v>63</v>
      </c>
      <c r="D28" s="18"/>
      <c r="E28" s="18"/>
      <c r="F28" s="18"/>
      <c r="M28" s="18"/>
    </row>
    <row r="29" spans="1:14" x14ac:dyDescent="0.25">
      <c r="A29" s="13"/>
      <c r="B29" s="26"/>
      <c r="C29" s="26"/>
      <c r="D29" s="27"/>
      <c r="F29" s="28"/>
      <c r="G29" s="28"/>
    </row>
    <row r="30" spans="1:14" x14ac:dyDescent="0.25">
      <c r="A30" s="29" t="s">
        <v>29</v>
      </c>
      <c r="B30" s="18">
        <f>M10</f>
        <v>1000361195</v>
      </c>
      <c r="C30" s="30"/>
      <c r="D30" s="18"/>
    </row>
    <row r="31" spans="1:14" x14ac:dyDescent="0.25">
      <c r="A31" s="5" t="s">
        <v>7</v>
      </c>
      <c r="B31" s="18">
        <f>M21</f>
        <v>65188251</v>
      </c>
      <c r="C31" s="18"/>
      <c r="D31" s="18"/>
    </row>
    <row r="32" spans="1:14" x14ac:dyDescent="0.25">
      <c r="A32" s="5" t="s">
        <v>37</v>
      </c>
      <c r="B32" s="21">
        <f>B31/B30</f>
        <v>6.5164713831187743E-2</v>
      </c>
      <c r="C32" s="18"/>
      <c r="D32" s="18"/>
      <c r="E32" s="18"/>
    </row>
    <row r="33" spans="1:12" x14ac:dyDescent="0.25">
      <c r="B33" s="18"/>
      <c r="C33" s="18"/>
      <c r="D33" s="18"/>
    </row>
    <row r="34" spans="1:12" x14ac:dyDescent="0.25">
      <c r="B34" s="31"/>
      <c r="C34" s="18"/>
      <c r="D34" s="18"/>
    </row>
    <row r="35" spans="1:12" x14ac:dyDescent="0.25">
      <c r="D35" s="18"/>
      <c r="E35" s="18"/>
    </row>
    <row r="36" spans="1:12" x14ac:dyDescent="0.25">
      <c r="A36" s="13" t="s">
        <v>38</v>
      </c>
      <c r="B36" s="18">
        <f>IF(B31&gt;0,-SUM(E45:E48),-SUM(E55:E59))</f>
        <v>-23882158.374999996</v>
      </c>
      <c r="C36" s="50"/>
      <c r="D36" s="18"/>
      <c r="E36" s="18"/>
      <c r="F36" s="18"/>
      <c r="I36" s="18"/>
      <c r="J36" s="18"/>
      <c r="K36" s="18"/>
    </row>
    <row r="37" spans="1:12" x14ac:dyDescent="0.25">
      <c r="A37" s="13"/>
      <c r="B37" s="18"/>
      <c r="D37" s="18"/>
      <c r="E37" s="18"/>
      <c r="I37" s="18"/>
      <c r="J37" s="18"/>
      <c r="K37" s="18"/>
    </row>
    <row r="38" spans="1:12" x14ac:dyDescent="0.25">
      <c r="A38" s="13" t="s">
        <v>39</v>
      </c>
      <c r="B38" s="18"/>
      <c r="D38" s="18"/>
      <c r="E38" s="18"/>
    </row>
    <row r="39" spans="1:12" x14ac:dyDescent="0.25">
      <c r="A39" s="32"/>
      <c r="B39" s="18"/>
      <c r="D39" s="18"/>
      <c r="E39" s="18"/>
    </row>
    <row r="40" spans="1:12" x14ac:dyDescent="0.25">
      <c r="A40" s="13" t="s">
        <v>40</v>
      </c>
      <c r="B40" s="18">
        <f>SUM(B36,B38)/0.98-SUM(B36,B38)</f>
        <v>-487390.98724489659</v>
      </c>
      <c r="C40" s="33"/>
      <c r="D40" s="18"/>
    </row>
    <row r="41" spans="1:12" ht="15.75" thickBot="1" x14ac:dyDescent="0.3">
      <c r="A41" s="13" t="s">
        <v>41</v>
      </c>
      <c r="B41" s="34">
        <f>SUM(B36+B38+B40)</f>
        <v>-24369549.362244893</v>
      </c>
      <c r="F41" s="35"/>
      <c r="G41" s="35"/>
    </row>
    <row r="42" spans="1:12" ht="15.75" thickTop="1" x14ac:dyDescent="0.25">
      <c r="F42" s="35"/>
      <c r="G42" s="35"/>
      <c r="L42" s="35"/>
    </row>
    <row r="43" spans="1:12" x14ac:dyDescent="0.25">
      <c r="B43" s="18"/>
      <c r="C43" s="35"/>
      <c r="D43" s="35" t="s">
        <v>44</v>
      </c>
      <c r="E43" s="35"/>
      <c r="G43" s="36"/>
      <c r="H43" s="36"/>
      <c r="L43" s="37"/>
    </row>
    <row r="44" spans="1:12" x14ac:dyDescent="0.25">
      <c r="A44" s="13" t="s">
        <v>42</v>
      </c>
      <c r="B44" s="5" t="s">
        <v>8</v>
      </c>
      <c r="C44" s="35" t="s">
        <v>9</v>
      </c>
      <c r="D44" s="35" t="s">
        <v>45</v>
      </c>
      <c r="E44" s="35" t="s">
        <v>10</v>
      </c>
      <c r="G44" s="35" t="s">
        <v>11</v>
      </c>
      <c r="H44" s="36"/>
      <c r="L44" s="37"/>
    </row>
    <row r="45" spans="1:12" x14ac:dyDescent="0.25">
      <c r="B45" s="38" t="s">
        <v>12</v>
      </c>
      <c r="C45" s="39">
        <v>0</v>
      </c>
      <c r="D45" s="37">
        <f>IF(G45&lt;=0,0,IF($B$30*0.02&gt;G45,G45,$B$30*0.02))</f>
        <v>20007223.900000002</v>
      </c>
      <c r="E45" s="37">
        <f>+C45*D45</f>
        <v>0</v>
      </c>
      <c r="F45" s="8"/>
      <c r="G45" s="36">
        <f>+IF(B31&lt;0,0,B31)</f>
        <v>65188251</v>
      </c>
      <c r="H45" s="31"/>
      <c r="L45" s="37"/>
    </row>
    <row r="46" spans="1:12" x14ac:dyDescent="0.25">
      <c r="B46" s="38" t="s">
        <v>65</v>
      </c>
      <c r="C46" s="39">
        <v>0.25</v>
      </c>
      <c r="D46" s="37">
        <f>IF(G46&lt;=0,0,IF($B$30*0.02&gt;G46,G46,$B$30*0.02))</f>
        <v>20007223.900000002</v>
      </c>
      <c r="E46" s="37">
        <f>+C46*D46</f>
        <v>5001805.9750000006</v>
      </c>
      <c r="F46" s="8"/>
      <c r="G46" s="36">
        <f>+G45-D45</f>
        <v>45181027.099999994</v>
      </c>
      <c r="H46" s="36"/>
      <c r="L46" s="37"/>
    </row>
    <row r="47" spans="1:12" x14ac:dyDescent="0.25">
      <c r="B47" s="38" t="s">
        <v>66</v>
      </c>
      <c r="C47" s="39">
        <v>0.75</v>
      </c>
      <c r="D47" s="37">
        <f>IF(G47&lt;=0,0,IF($B$30*0.03&gt;G47,G47,$B$30*0.03))</f>
        <v>25173803.199999992</v>
      </c>
      <c r="E47" s="37">
        <f>+C47*D47</f>
        <v>18880352.399999995</v>
      </c>
      <c r="F47" s="8"/>
      <c r="G47" s="36">
        <f>+G46-D46</f>
        <v>25173803.199999992</v>
      </c>
      <c r="H47" s="36"/>
      <c r="L47" s="37"/>
    </row>
    <row r="48" spans="1:12" x14ac:dyDescent="0.25">
      <c r="B48" s="38" t="s">
        <v>67</v>
      </c>
      <c r="C48" s="39">
        <v>1</v>
      </c>
      <c r="D48" s="37">
        <f>IF(G48&lt;=0,0,IF($B$30*0.93&gt;G48,G48,$B$30*0.93))</f>
        <v>0</v>
      </c>
      <c r="E48" s="37">
        <f>+C48*D48</f>
        <v>0</v>
      </c>
      <c r="F48" s="8"/>
      <c r="G48" s="36">
        <f>+G47-D47</f>
        <v>0</v>
      </c>
      <c r="H48" s="36"/>
      <c r="L48" s="37"/>
    </row>
    <row r="49" spans="1:12" x14ac:dyDescent="0.25">
      <c r="B49" s="38"/>
      <c r="C49" s="39"/>
      <c r="D49" s="37"/>
      <c r="E49" s="37"/>
    </row>
    <row r="50" spans="1:12" x14ac:dyDescent="0.25">
      <c r="B50" s="38"/>
      <c r="C50" s="39"/>
      <c r="D50" s="37"/>
      <c r="E50" s="37"/>
    </row>
    <row r="51" spans="1:12" x14ac:dyDescent="0.25">
      <c r="B51" s="38"/>
      <c r="C51" s="38"/>
      <c r="E51" s="36"/>
      <c r="F51" s="35"/>
      <c r="G51" s="35"/>
      <c r="L51" s="40"/>
    </row>
    <row r="52" spans="1:12" x14ac:dyDescent="0.25">
      <c r="F52" s="35"/>
      <c r="G52" s="35"/>
      <c r="L52" s="40"/>
    </row>
    <row r="53" spans="1:12" x14ac:dyDescent="0.25">
      <c r="B53" s="18"/>
      <c r="C53" s="35"/>
      <c r="D53" s="35" t="s">
        <v>49</v>
      </c>
      <c r="E53" s="35"/>
      <c r="G53" s="36"/>
      <c r="H53" s="36"/>
      <c r="L53" s="37"/>
    </row>
    <row r="54" spans="1:12" x14ac:dyDescent="0.25">
      <c r="A54" s="13" t="s">
        <v>42</v>
      </c>
      <c r="B54" s="5" t="s">
        <v>13</v>
      </c>
      <c r="C54" s="35" t="s">
        <v>9</v>
      </c>
      <c r="D54" s="35" t="s">
        <v>45</v>
      </c>
      <c r="E54" s="35" t="s">
        <v>14</v>
      </c>
      <c r="G54" s="35" t="s">
        <v>11</v>
      </c>
      <c r="H54" s="36"/>
      <c r="L54" s="37"/>
    </row>
    <row r="55" spans="1:12" x14ac:dyDescent="0.25">
      <c r="B55" s="38" t="s">
        <v>78</v>
      </c>
      <c r="C55" s="39">
        <v>0</v>
      </c>
      <c r="D55" s="37">
        <f>IF(G55&gt;=0,0,IF(-$B$30*0.01&lt;G55,G55,-$B$30*0.01))</f>
        <v>0</v>
      </c>
      <c r="E55" s="37">
        <f t="shared" ref="E55:E59" si="7">+C55*D55</f>
        <v>0</v>
      </c>
      <c r="F55" s="8"/>
      <c r="G55" s="36">
        <f>+IF(B31&gt;0,0,B31)</f>
        <v>0</v>
      </c>
      <c r="H55" s="36"/>
      <c r="L55" s="37"/>
    </row>
    <row r="56" spans="1:12" x14ac:dyDescent="0.25">
      <c r="B56" s="63" t="s">
        <v>56</v>
      </c>
      <c r="C56" s="39">
        <v>0.25</v>
      </c>
      <c r="D56" s="37">
        <f>IF(G56&gt;=0,0,IF(-$B$30*0.01&lt;G56,G56,-$B$30*0.01))</f>
        <v>0</v>
      </c>
      <c r="E56" s="37">
        <f>+C56*D56</f>
        <v>0</v>
      </c>
      <c r="F56" s="8"/>
      <c r="G56" s="36">
        <f>G55-D55</f>
        <v>0</v>
      </c>
      <c r="H56" s="36"/>
      <c r="L56" s="37"/>
    </row>
    <row r="57" spans="1:12" x14ac:dyDescent="0.25">
      <c r="B57" s="64" t="s">
        <v>51</v>
      </c>
      <c r="C57" s="39">
        <v>0.5</v>
      </c>
      <c r="D57" s="37">
        <f>IF(G57&gt;=0,0,IF(-$B$30*0.01&lt;G57,G57,-$B$30*0.01))</f>
        <v>0</v>
      </c>
      <c r="E57" s="37">
        <f>+C57*D57</f>
        <v>0</v>
      </c>
      <c r="F57" s="8"/>
      <c r="G57" s="36">
        <f>G56-D56</f>
        <v>0</v>
      </c>
      <c r="H57" s="36"/>
      <c r="L57" s="37"/>
    </row>
    <row r="58" spans="1:12" x14ac:dyDescent="0.25">
      <c r="B58" s="64" t="s">
        <v>52</v>
      </c>
      <c r="C58" s="39">
        <v>0.75</v>
      </c>
      <c r="D58" s="37">
        <f>IF(G58&gt;=0,0,IF(-$B$30*0.01&lt;G58,G58,$B$30*0.01))</f>
        <v>0</v>
      </c>
      <c r="E58" s="37">
        <f t="shared" si="7"/>
        <v>0</v>
      </c>
      <c r="F58" s="8"/>
      <c r="G58" s="36">
        <f>G57-D57</f>
        <v>0</v>
      </c>
      <c r="H58" s="36"/>
      <c r="L58" s="37"/>
    </row>
    <row r="59" spans="1:12" x14ac:dyDescent="0.25">
      <c r="B59" s="38" t="s">
        <v>53</v>
      </c>
      <c r="C59" s="39">
        <v>1</v>
      </c>
      <c r="D59" s="37">
        <f>IF(G59&gt;=0,0,IF(-$B$30*0.96&lt;G59,G59,-$B$30*0.96))</f>
        <v>0</v>
      </c>
      <c r="E59" s="37">
        <f t="shared" si="7"/>
        <v>0</v>
      </c>
      <c r="F59" s="8"/>
      <c r="G59" s="36">
        <f>G58-D58</f>
        <v>0</v>
      </c>
      <c r="H59" s="36"/>
    </row>
    <row r="60" spans="1:12" x14ac:dyDescent="0.25">
      <c r="B60" s="38"/>
      <c r="C60" s="39"/>
      <c r="D60" s="37"/>
      <c r="E60" s="37"/>
      <c r="H60" s="36"/>
    </row>
    <row r="61" spans="1:12" x14ac:dyDescent="0.25">
      <c r="B61" s="38"/>
      <c r="C61" s="39"/>
      <c r="D61" s="37"/>
      <c r="E61" s="37"/>
    </row>
    <row r="62" spans="1:12" x14ac:dyDescent="0.25">
      <c r="B62" s="38"/>
      <c r="C62" s="39"/>
      <c r="D62" s="37"/>
      <c r="E62" s="37"/>
    </row>
    <row r="63" spans="1:12" ht="15.75" thickBot="1" x14ac:dyDescent="0.3"/>
    <row r="64" spans="1:12" x14ac:dyDescent="0.25">
      <c r="A64" s="1" t="s">
        <v>43</v>
      </c>
      <c r="B64" s="2"/>
      <c r="C64" s="2"/>
      <c r="D64" s="2"/>
      <c r="E64" s="2"/>
      <c r="F64" s="3"/>
    </row>
    <row r="65" spans="1:8" x14ac:dyDescent="0.25">
      <c r="A65" s="4" t="s">
        <v>68</v>
      </c>
      <c r="F65" s="6"/>
    </row>
    <row r="66" spans="1:8" x14ac:dyDescent="0.25">
      <c r="A66" s="7" t="s">
        <v>69</v>
      </c>
      <c r="F66" s="6"/>
    </row>
    <row r="67" spans="1:8" x14ac:dyDescent="0.25">
      <c r="A67" s="7" t="s">
        <v>60</v>
      </c>
      <c r="F67" s="9"/>
      <c r="G67" s="8"/>
      <c r="H67" s="8"/>
    </row>
    <row r="68" spans="1:8" x14ac:dyDescent="0.25">
      <c r="A68" s="7" t="s">
        <v>70</v>
      </c>
      <c r="F68" s="6"/>
    </row>
    <row r="69" spans="1:8" ht="15" customHeight="1" thickBot="1" x14ac:dyDescent="0.3">
      <c r="A69" s="10" t="s">
        <v>59</v>
      </c>
      <c r="B69" s="11"/>
      <c r="C69" s="11"/>
      <c r="D69" s="11"/>
      <c r="E69" s="11"/>
      <c r="F69" s="12"/>
    </row>
    <row r="70" spans="1:8" ht="12" customHeight="1" x14ac:dyDescent="0.25"/>
  </sheetData>
  <pageMargins left="0.75" right="0.75" top="1" bottom="1" header="0.5" footer="0.5"/>
  <pageSetup scale="32" orientation="landscape" r:id="rId1"/>
  <headerFooter alignWithMargins="0">
    <oddHeader xml:space="preserve">&amp;L&amp;G&amp;C&amp;"-,Bold"&amp;12&amp;K2F8DCBAHCCCS CONTRACTOR OPERATIONS MANUAL
 POLICY 311 - ATTACHMENT A -
ACC and ACC-RBHA PROGRAM TIERED RECONCILIATION - EXAMPLE
FOR THE CONTRACT YEAR ENDED 09/30/xx
AS OF: xx/xx/xx
</oddHeader>
    <oddFooter>&amp;L&amp;"-,Regular"&amp;K2F8DCBEffective Dates: 10/01/22, 10/01/23, 10/01/24
Approval Dates: 08/04/22, 05/18/23, 05/14/24&amp;C&amp;"-,Bold"&amp;11&amp;K2F8DCB 311 - Attachment A - Page &amp;P of &amp;N</oddFooter>
  </headerFooter>
  <ignoredErrors>
    <ignoredError sqref="L22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7FDE-2034-4C9C-BAAE-724ED64E9612}">
  <sheetPr>
    <pageSetUpPr fitToPage="1"/>
  </sheetPr>
  <dimension ref="A1:P70"/>
  <sheetViews>
    <sheetView view="pageLayout" topLeftCell="A73" zoomScaleNormal="145" workbookViewId="0">
      <selection activeCell="E9" sqref="E9"/>
    </sheetView>
  </sheetViews>
  <sheetFormatPr defaultColWidth="9.140625" defaultRowHeight="15" x14ac:dyDescent="0.25"/>
  <cols>
    <col min="1" max="1" width="88.85546875" style="5" customWidth="1"/>
    <col min="2" max="2" width="25.28515625" style="5" bestFit="1" customWidth="1"/>
    <col min="3" max="3" width="23.140625" style="5" bestFit="1" customWidth="1"/>
    <col min="4" max="4" width="23.28515625" style="5" bestFit="1" customWidth="1"/>
    <col min="5" max="7" width="22" style="5" bestFit="1" customWidth="1"/>
    <col min="8" max="8" width="22.85546875" style="5" bestFit="1" customWidth="1"/>
    <col min="9" max="9" width="22" style="5" bestFit="1" customWidth="1"/>
    <col min="10" max="10" width="23.5703125" style="5" bestFit="1" customWidth="1"/>
    <col min="11" max="11" width="22" style="5" bestFit="1" customWidth="1"/>
    <col min="12" max="12" width="19.42578125" style="5" customWidth="1"/>
    <col min="13" max="13" width="30.28515625" style="5" customWidth="1"/>
    <col min="14" max="14" width="20.140625" style="5" bestFit="1" customWidth="1"/>
    <col min="15" max="15" width="12.85546875" style="5" bestFit="1" customWidth="1"/>
    <col min="16" max="16" width="10.7109375" style="5" bestFit="1" customWidth="1"/>
    <col min="17" max="16384" width="9.140625" style="5"/>
  </cols>
  <sheetData>
    <row r="1" spans="1:16" ht="66" customHeight="1" x14ac:dyDescent="0.25">
      <c r="A1" s="41"/>
      <c r="B1" s="42" t="s">
        <v>16</v>
      </c>
      <c r="C1" s="42" t="s">
        <v>17</v>
      </c>
      <c r="D1" s="43" t="s">
        <v>18</v>
      </c>
      <c r="E1" s="43" t="s">
        <v>19</v>
      </c>
      <c r="F1" s="44" t="s">
        <v>20</v>
      </c>
      <c r="G1" s="44" t="s">
        <v>21</v>
      </c>
      <c r="H1" s="44" t="s">
        <v>26</v>
      </c>
      <c r="I1" s="44" t="s">
        <v>27</v>
      </c>
      <c r="J1" s="44" t="s">
        <v>24</v>
      </c>
      <c r="K1" s="44" t="s">
        <v>25</v>
      </c>
      <c r="L1" s="44" t="s">
        <v>22</v>
      </c>
      <c r="M1" s="42" t="s">
        <v>0</v>
      </c>
    </row>
    <row r="2" spans="1:16" x14ac:dyDescent="0.25">
      <c r="A2" s="13"/>
      <c r="B2" s="14"/>
      <c r="C2" s="14"/>
      <c r="D2" s="15"/>
      <c r="E2" s="15"/>
      <c r="F2" s="14"/>
      <c r="G2" s="14"/>
      <c r="H2" s="16"/>
      <c r="I2" s="14"/>
      <c r="J2" s="14"/>
      <c r="K2" s="14"/>
      <c r="L2" s="14"/>
      <c r="M2" s="14"/>
    </row>
    <row r="3" spans="1:16" x14ac:dyDescent="0.25">
      <c r="A3" s="13" t="s">
        <v>30</v>
      </c>
      <c r="B3" s="14"/>
      <c r="C3" s="14"/>
      <c r="D3" s="15"/>
      <c r="E3" s="15"/>
      <c r="F3" s="14"/>
      <c r="G3" s="14"/>
      <c r="H3" s="16"/>
      <c r="I3" s="14"/>
      <c r="J3" s="14"/>
      <c r="K3" s="14"/>
      <c r="L3" s="14"/>
      <c r="M3" s="14"/>
    </row>
    <row r="4" spans="1:16" x14ac:dyDescent="0.25">
      <c r="A4" s="17" t="s">
        <v>1</v>
      </c>
      <c r="B4" s="18">
        <v>58400000</v>
      </c>
      <c r="C4" s="18">
        <v>128300000</v>
      </c>
      <c r="D4" s="18">
        <v>102700000</v>
      </c>
      <c r="E4" s="18">
        <v>41500000</v>
      </c>
      <c r="F4" s="18">
        <v>40000000</v>
      </c>
      <c r="G4" s="18">
        <v>29200000</v>
      </c>
      <c r="H4" s="18">
        <v>112300000</v>
      </c>
      <c r="I4" s="18">
        <v>60000000</v>
      </c>
      <c r="J4" s="18">
        <f>373600000</f>
        <v>373600000</v>
      </c>
      <c r="K4" s="18">
        <v>39600000</v>
      </c>
      <c r="L4" s="18">
        <v>0</v>
      </c>
      <c r="M4" s="18">
        <f>+SUM(B4:L4)</f>
        <v>985600000</v>
      </c>
    </row>
    <row r="5" spans="1:16" x14ac:dyDescent="0.25">
      <c r="A5" s="17" t="s">
        <v>15</v>
      </c>
      <c r="B5" s="18">
        <v>550000</v>
      </c>
      <c r="C5" s="18">
        <v>7532000</v>
      </c>
      <c r="D5" s="18">
        <v>15325000</v>
      </c>
      <c r="E5" s="18">
        <v>750000</v>
      </c>
      <c r="F5" s="18">
        <v>2555000</v>
      </c>
      <c r="G5" s="18">
        <v>0</v>
      </c>
      <c r="H5" s="18">
        <v>755000</v>
      </c>
      <c r="I5" s="18">
        <v>699000</v>
      </c>
      <c r="J5" s="18">
        <f>3577750</f>
        <v>3577750</v>
      </c>
      <c r="K5" s="18">
        <v>0</v>
      </c>
      <c r="L5" s="18"/>
      <c r="M5" s="18">
        <f>+SUM(B5:L5)</f>
        <v>31743750</v>
      </c>
    </row>
    <row r="6" spans="1:16" x14ac:dyDescent="0.25">
      <c r="A6" s="17" t="s">
        <v>2</v>
      </c>
      <c r="B6" s="18">
        <v>0</v>
      </c>
      <c r="C6" s="18">
        <v>0</v>
      </c>
      <c r="D6" s="18">
        <v>28400000</v>
      </c>
      <c r="E6" s="18">
        <v>0</v>
      </c>
      <c r="F6" s="18">
        <v>0</v>
      </c>
      <c r="G6" s="18">
        <v>100000</v>
      </c>
      <c r="H6" s="18">
        <v>700000</v>
      </c>
      <c r="I6" s="18">
        <v>0</v>
      </c>
      <c r="J6" s="18">
        <v>0</v>
      </c>
      <c r="K6" s="18">
        <v>0</v>
      </c>
      <c r="L6" s="18">
        <v>0</v>
      </c>
      <c r="M6" s="18">
        <f>+SUM(B6:L6)</f>
        <v>29200000</v>
      </c>
    </row>
    <row r="7" spans="1:16" x14ac:dyDescent="0.25">
      <c r="A7" s="67" t="s">
        <v>28</v>
      </c>
      <c r="B7" s="20">
        <f>9200000</f>
        <v>9200000</v>
      </c>
      <c r="C7" s="20">
        <v>4600000</v>
      </c>
      <c r="D7" s="20">
        <v>3300000</v>
      </c>
      <c r="E7" s="20">
        <v>4900000</v>
      </c>
      <c r="F7" s="20">
        <v>1300000</v>
      </c>
      <c r="G7" s="20">
        <v>300000</v>
      </c>
      <c r="H7" s="20">
        <v>21900000</v>
      </c>
      <c r="I7" s="20">
        <v>750000</v>
      </c>
      <c r="J7" s="20">
        <v>4950000</v>
      </c>
      <c r="K7" s="20">
        <v>0</v>
      </c>
      <c r="L7" s="20"/>
      <c r="M7" s="20">
        <f>SUM(B7:L7)</f>
        <v>51200000</v>
      </c>
    </row>
    <row r="8" spans="1:16" x14ac:dyDescent="0.25">
      <c r="A8" s="17" t="s">
        <v>3</v>
      </c>
      <c r="B8" s="18">
        <v>4400000</v>
      </c>
      <c r="C8" s="18">
        <v>9500000</v>
      </c>
      <c r="D8" s="18">
        <v>11342560</v>
      </c>
      <c r="E8" s="18">
        <v>3100000</v>
      </c>
      <c r="F8" s="18">
        <v>3100000</v>
      </c>
      <c r="G8" s="18">
        <v>2107840</v>
      </c>
      <c r="H8" s="18">
        <v>8254880</v>
      </c>
      <c r="I8" s="18">
        <v>2638400</v>
      </c>
      <c r="J8" s="18">
        <f>27900000</f>
        <v>27900000</v>
      </c>
      <c r="K8" s="18">
        <v>3084000</v>
      </c>
      <c r="L8" s="18">
        <v>0</v>
      </c>
      <c r="M8" s="18">
        <f>+SUM(B8:L8)</f>
        <v>75427680</v>
      </c>
      <c r="N8" s="18"/>
      <c r="O8" s="18"/>
      <c r="P8" s="18"/>
    </row>
    <row r="9" spans="1:16" x14ac:dyDescent="0.25">
      <c r="A9" s="17" t="s">
        <v>4</v>
      </c>
      <c r="B9" s="19">
        <f t="shared" ref="B9:L9" si="0">SUM(B4:B6,B7)*0.02</f>
        <v>1363000</v>
      </c>
      <c r="C9" s="19">
        <f t="shared" si="0"/>
        <v>2808640</v>
      </c>
      <c r="D9" s="19">
        <f t="shared" si="0"/>
        <v>2994500</v>
      </c>
      <c r="E9" s="19">
        <f t="shared" si="0"/>
        <v>943000</v>
      </c>
      <c r="F9" s="19">
        <f t="shared" si="0"/>
        <v>877100</v>
      </c>
      <c r="G9" s="19">
        <f t="shared" si="0"/>
        <v>592000</v>
      </c>
      <c r="H9" s="19">
        <f t="shared" si="0"/>
        <v>2713100</v>
      </c>
      <c r="I9" s="19">
        <f t="shared" si="0"/>
        <v>1228980</v>
      </c>
      <c r="J9" s="19">
        <f t="shared" si="0"/>
        <v>7642555</v>
      </c>
      <c r="K9" s="19">
        <f t="shared" si="0"/>
        <v>792000</v>
      </c>
      <c r="L9" s="19">
        <f t="shared" si="0"/>
        <v>0</v>
      </c>
      <c r="M9" s="19">
        <f>SUM(B9:L9)</f>
        <v>21954875</v>
      </c>
      <c r="O9" s="18"/>
    </row>
    <row r="10" spans="1:16" x14ac:dyDescent="0.25">
      <c r="A10" s="13" t="s">
        <v>29</v>
      </c>
      <c r="B10" s="20">
        <f t="shared" ref="B10:M10" si="1">SUM(B4:B6,B7)-B8-B9</f>
        <v>62387000</v>
      </c>
      <c r="C10" s="20">
        <f t="shared" si="1"/>
        <v>128123360</v>
      </c>
      <c r="D10" s="20">
        <f t="shared" si="1"/>
        <v>135387940</v>
      </c>
      <c r="E10" s="20">
        <f t="shared" si="1"/>
        <v>43107000</v>
      </c>
      <c r="F10" s="20">
        <f t="shared" si="1"/>
        <v>39877900</v>
      </c>
      <c r="G10" s="20">
        <f t="shared" si="1"/>
        <v>26900160</v>
      </c>
      <c r="H10" s="20">
        <f t="shared" si="1"/>
        <v>124687020</v>
      </c>
      <c r="I10" s="20">
        <f t="shared" si="1"/>
        <v>57581620</v>
      </c>
      <c r="J10" s="20">
        <f t="shared" si="1"/>
        <v>346585195</v>
      </c>
      <c r="K10" s="20">
        <f t="shared" si="1"/>
        <v>35724000</v>
      </c>
      <c r="L10" s="20">
        <f t="shared" si="1"/>
        <v>0</v>
      </c>
      <c r="M10" s="20">
        <f t="shared" si="1"/>
        <v>1000361195</v>
      </c>
    </row>
    <row r="11" spans="1:16" x14ac:dyDescent="0.25">
      <c r="A11" s="1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6" x14ac:dyDescent="0.25">
      <c r="A12" s="13" t="s">
        <v>32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6" x14ac:dyDescent="0.25">
      <c r="A13" s="17" t="s">
        <v>33</v>
      </c>
      <c r="B13" s="18">
        <f>58615000+10000000</f>
        <v>68615000</v>
      </c>
      <c r="C13" s="18">
        <f>109630000+27000000</f>
        <v>136630000</v>
      </c>
      <c r="D13" s="18">
        <f>126550000+15000000</f>
        <v>141550000</v>
      </c>
      <c r="E13" s="18">
        <f>41805000+12500000</f>
        <v>54305000</v>
      </c>
      <c r="F13" s="18">
        <v>43630000</v>
      </c>
      <c r="G13" s="18">
        <v>25935000</v>
      </c>
      <c r="H13" s="18">
        <f>113240000+12000000</f>
        <v>125240000</v>
      </c>
      <c r="I13" s="18">
        <f>45975000+15000000</f>
        <v>60975000</v>
      </c>
      <c r="J13" s="18">
        <f>225750900+10000000</f>
        <v>235750900</v>
      </c>
      <c r="K13" s="18">
        <v>1875000</v>
      </c>
      <c r="L13" s="18"/>
      <c r="M13" s="18">
        <f t="shared" ref="M13:M16" si="2">+SUM(B13:L13)</f>
        <v>894505900</v>
      </c>
      <c r="O13" s="18"/>
    </row>
    <row r="14" spans="1:16" x14ac:dyDescent="0.25">
      <c r="A14" s="17" t="s">
        <v>73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f t="shared" si="2"/>
        <v>0</v>
      </c>
      <c r="O14" s="18"/>
    </row>
    <row r="15" spans="1:16" x14ac:dyDescent="0.25">
      <c r="A15" s="17" t="s">
        <v>55</v>
      </c>
      <c r="B15" s="18">
        <v>1000000</v>
      </c>
      <c r="C15" s="18">
        <v>500000</v>
      </c>
      <c r="D15" s="18">
        <v>500000</v>
      </c>
      <c r="E15" s="18">
        <v>700000</v>
      </c>
      <c r="F15" s="18">
        <v>100000</v>
      </c>
      <c r="G15" s="18">
        <v>600000</v>
      </c>
      <c r="H15" s="18">
        <v>900000</v>
      </c>
      <c r="I15" s="18">
        <v>400000</v>
      </c>
      <c r="J15" s="18">
        <f>98850000</f>
        <v>98850000</v>
      </c>
      <c r="K15" s="18">
        <v>30000000</v>
      </c>
      <c r="L15" s="18">
        <v>0</v>
      </c>
      <c r="M15" s="18">
        <f t="shared" si="2"/>
        <v>133550000</v>
      </c>
    </row>
    <row r="16" spans="1:16" x14ac:dyDescent="0.25">
      <c r="A16" s="17" t="s">
        <v>5</v>
      </c>
      <c r="B16" s="18">
        <v>0</v>
      </c>
      <c r="C16" s="18">
        <v>0</v>
      </c>
      <c r="D16" s="18">
        <v>0</v>
      </c>
      <c r="E16" s="18">
        <v>1500</v>
      </c>
      <c r="F16" s="18">
        <v>25000</v>
      </c>
      <c r="G16" s="18">
        <v>0</v>
      </c>
      <c r="H16" s="18">
        <v>0</v>
      </c>
      <c r="I16" s="18">
        <v>0</v>
      </c>
      <c r="J16" s="18">
        <v>300000</v>
      </c>
      <c r="K16" s="18">
        <v>0</v>
      </c>
      <c r="L16" s="18"/>
      <c r="M16" s="18">
        <f t="shared" si="2"/>
        <v>326500</v>
      </c>
    </row>
    <row r="17" spans="1:14" x14ac:dyDescent="0.25">
      <c r="A17" s="13" t="s">
        <v>34</v>
      </c>
      <c r="B17" s="20">
        <f>SUM(B13:B15)-B16</f>
        <v>69615000</v>
      </c>
      <c r="C17" s="20">
        <f t="shared" ref="C17:M17" si="3">SUM(C13:C15)-C16</f>
        <v>137130000</v>
      </c>
      <c r="D17" s="20">
        <f t="shared" si="3"/>
        <v>142050000</v>
      </c>
      <c r="E17" s="20">
        <f t="shared" si="3"/>
        <v>55003500</v>
      </c>
      <c r="F17" s="20">
        <f t="shared" si="3"/>
        <v>43705000</v>
      </c>
      <c r="G17" s="20">
        <f t="shared" si="3"/>
        <v>26535000</v>
      </c>
      <c r="H17" s="20">
        <f t="shared" si="3"/>
        <v>126140000</v>
      </c>
      <c r="I17" s="20">
        <f t="shared" si="3"/>
        <v>61375000</v>
      </c>
      <c r="J17" s="20">
        <f t="shared" si="3"/>
        <v>334300900</v>
      </c>
      <c r="K17" s="20">
        <f t="shared" si="3"/>
        <v>31875000</v>
      </c>
      <c r="L17" s="20">
        <f t="shared" si="3"/>
        <v>0</v>
      </c>
      <c r="M17" s="20">
        <f t="shared" si="3"/>
        <v>1027729400</v>
      </c>
      <c r="N17" s="18"/>
    </row>
    <row r="18" spans="1:14" x14ac:dyDescent="0.25">
      <c r="A18" s="1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x14ac:dyDescent="0.25">
      <c r="A19" s="13" t="s">
        <v>61</v>
      </c>
      <c r="B19" s="20">
        <f>B17*0.01</f>
        <v>696150</v>
      </c>
      <c r="C19" s="20">
        <f t="shared" ref="C19:L19" si="4">C17*0.01</f>
        <v>1371300</v>
      </c>
      <c r="D19" s="20">
        <f t="shared" si="4"/>
        <v>1420500</v>
      </c>
      <c r="E19" s="20">
        <f t="shared" si="4"/>
        <v>550035</v>
      </c>
      <c r="F19" s="20">
        <f t="shared" si="4"/>
        <v>437050</v>
      </c>
      <c r="G19" s="20">
        <f t="shared" si="4"/>
        <v>265350</v>
      </c>
      <c r="H19" s="20">
        <f t="shared" si="4"/>
        <v>1261400</v>
      </c>
      <c r="I19" s="20">
        <f t="shared" si="4"/>
        <v>613750</v>
      </c>
      <c r="J19" s="20">
        <f t="shared" si="4"/>
        <v>3343009</v>
      </c>
      <c r="K19" s="20"/>
      <c r="L19" s="20">
        <f t="shared" si="4"/>
        <v>0</v>
      </c>
      <c r="M19" s="20">
        <f>+SUM(B19:L19)</f>
        <v>9958544</v>
      </c>
    </row>
    <row r="20" spans="1:14" x14ac:dyDescent="0.25">
      <c r="A20" s="13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4" ht="36" customHeight="1" x14ac:dyDescent="0.25">
      <c r="A21" s="69" t="s">
        <v>36</v>
      </c>
      <c r="B21" s="70">
        <f>B10-B17-B19</f>
        <v>-7924150</v>
      </c>
      <c r="C21" s="70">
        <f t="shared" ref="C21:M21" si="5">C10-C17-C19</f>
        <v>-10377940</v>
      </c>
      <c r="D21" s="70">
        <f t="shared" si="5"/>
        <v>-8082560</v>
      </c>
      <c r="E21" s="70">
        <f t="shared" si="5"/>
        <v>-12446535</v>
      </c>
      <c r="F21" s="70">
        <f t="shared" si="5"/>
        <v>-4264150</v>
      </c>
      <c r="G21" s="70">
        <f t="shared" si="5"/>
        <v>99810</v>
      </c>
      <c r="H21" s="70">
        <f t="shared" si="5"/>
        <v>-2714380</v>
      </c>
      <c r="I21" s="70">
        <f t="shared" si="5"/>
        <v>-4407130</v>
      </c>
      <c r="J21" s="70">
        <f t="shared" si="5"/>
        <v>8941286</v>
      </c>
      <c r="K21" s="70">
        <f>K10-K17-K19</f>
        <v>3849000</v>
      </c>
      <c r="L21" s="70">
        <f t="shared" si="5"/>
        <v>0</v>
      </c>
      <c r="M21" s="70">
        <f t="shared" si="5"/>
        <v>-37326749</v>
      </c>
    </row>
    <row r="22" spans="1:14" x14ac:dyDescent="0.25">
      <c r="A22" s="13" t="s">
        <v>37</v>
      </c>
      <c r="B22" s="68">
        <f>B21/B10</f>
        <v>-0.12701604500937697</v>
      </c>
      <c r="C22" s="68">
        <f t="shared" ref="C22:K22" si="6">C21/C10</f>
        <v>-8.0999592892349995E-2</v>
      </c>
      <c r="D22" s="68">
        <f t="shared" si="6"/>
        <v>-5.9699261248823195E-2</v>
      </c>
      <c r="E22" s="68">
        <f t="shared" si="6"/>
        <v>-0.28873582016841814</v>
      </c>
      <c r="F22" s="68">
        <f t="shared" si="6"/>
        <v>-0.10693015429598851</v>
      </c>
      <c r="G22" s="68">
        <f t="shared" si="6"/>
        <v>3.7103868527176048E-3</v>
      </c>
      <c r="H22" s="68">
        <f t="shared" si="6"/>
        <v>-2.1769547463721565E-2</v>
      </c>
      <c r="I22" s="68">
        <f t="shared" si="6"/>
        <v>-7.6537096385964828E-2</v>
      </c>
      <c r="J22" s="68">
        <f t="shared" si="6"/>
        <v>2.5798234110952143E-2</v>
      </c>
      <c r="K22" s="68">
        <f t="shared" si="6"/>
        <v>0.10774269398723547</v>
      </c>
      <c r="L22" s="68">
        <f>IF(L10=0,0,L21/L10)</f>
        <v>0</v>
      </c>
      <c r="M22" s="68">
        <f>M21/M10</f>
        <v>-3.7313271632852571E-2</v>
      </c>
    </row>
    <row r="23" spans="1:14" x14ac:dyDescent="0.25">
      <c r="A23" s="5" t="s">
        <v>6</v>
      </c>
      <c r="B23" s="22">
        <v>150000</v>
      </c>
      <c r="C23" s="22">
        <v>1410000</v>
      </c>
      <c r="D23" s="22">
        <v>670000</v>
      </c>
      <c r="E23" s="22">
        <v>320000</v>
      </c>
      <c r="F23" s="22">
        <v>120000</v>
      </c>
      <c r="G23" s="22">
        <v>250000</v>
      </c>
      <c r="H23" s="22">
        <v>210000</v>
      </c>
      <c r="I23" s="22">
        <v>50000</v>
      </c>
      <c r="J23" s="22">
        <v>15000</v>
      </c>
      <c r="K23" s="22">
        <v>3195000</v>
      </c>
      <c r="L23" s="22"/>
      <c r="M23" s="22">
        <f>SUM(B23:J23)</f>
        <v>3195000</v>
      </c>
    </row>
    <row r="24" spans="1:14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4" x14ac:dyDescent="0.25">
      <c r="A25" s="13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4" ht="15.75" thickBot="1" x14ac:dyDescent="0.3">
      <c r="A26" s="4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1"/>
      <c r="M26" s="48">
        <f>M21+M25</f>
        <v>-37326749</v>
      </c>
    </row>
    <row r="27" spans="1:14" ht="15.75" thickTop="1" x14ac:dyDescent="0.25">
      <c r="A27" s="13"/>
      <c r="C27" s="25"/>
      <c r="M27" s="18"/>
    </row>
    <row r="28" spans="1:14" x14ac:dyDescent="0.25">
      <c r="A28" s="45" t="s">
        <v>63</v>
      </c>
      <c r="D28" s="18"/>
      <c r="E28" s="18"/>
      <c r="F28" s="18"/>
      <c r="M28" s="18"/>
    </row>
    <row r="29" spans="1:14" x14ac:dyDescent="0.25">
      <c r="A29" s="13"/>
      <c r="B29" s="26"/>
      <c r="C29" s="26"/>
      <c r="D29" s="27"/>
      <c r="F29" s="28"/>
      <c r="G29" s="28"/>
    </row>
    <row r="30" spans="1:14" x14ac:dyDescent="0.25">
      <c r="A30" s="29" t="s">
        <v>29</v>
      </c>
      <c r="B30" s="18">
        <f>M10</f>
        <v>1000361195</v>
      </c>
      <c r="C30" s="30"/>
      <c r="D30" s="18"/>
    </row>
    <row r="31" spans="1:14" x14ac:dyDescent="0.25">
      <c r="A31" s="5" t="s">
        <v>7</v>
      </c>
      <c r="B31" s="18">
        <f>M21</f>
        <v>-37326749</v>
      </c>
      <c r="C31" s="18"/>
      <c r="D31" s="18"/>
    </row>
    <row r="32" spans="1:14" x14ac:dyDescent="0.25">
      <c r="A32" s="5" t="s">
        <v>37</v>
      </c>
      <c r="B32" s="21">
        <f>B31/B30</f>
        <v>-3.7313271632852571E-2</v>
      </c>
      <c r="C32" s="18"/>
      <c r="D32" s="18"/>
      <c r="E32" s="18"/>
    </row>
    <row r="33" spans="1:12" x14ac:dyDescent="0.25">
      <c r="B33" s="18"/>
      <c r="C33" s="18"/>
      <c r="D33" s="18"/>
    </row>
    <row r="34" spans="1:12" x14ac:dyDescent="0.25">
      <c r="B34" s="31"/>
      <c r="C34" s="18"/>
      <c r="D34" s="18"/>
    </row>
    <row r="35" spans="1:12" x14ac:dyDescent="0.25">
      <c r="D35" s="18"/>
      <c r="E35" s="18"/>
    </row>
    <row r="36" spans="1:12" x14ac:dyDescent="0.25">
      <c r="A36" s="13" t="s">
        <v>71</v>
      </c>
      <c r="B36" s="18">
        <f>IF(B31&gt;0,-SUM(E45:E48),-SUM(E55:E59))</f>
        <v>12989643.824999996</v>
      </c>
      <c r="C36" s="18"/>
      <c r="D36" s="18"/>
      <c r="E36" s="18"/>
      <c r="F36" s="18"/>
      <c r="I36" s="18"/>
      <c r="J36" s="18"/>
      <c r="K36" s="18"/>
    </row>
    <row r="37" spans="1:12" x14ac:dyDescent="0.25">
      <c r="A37" s="13"/>
      <c r="B37" s="18"/>
      <c r="D37" s="18"/>
      <c r="E37" s="18"/>
      <c r="I37" s="18"/>
      <c r="J37" s="18"/>
      <c r="K37" s="18"/>
    </row>
    <row r="38" spans="1:12" x14ac:dyDescent="0.25">
      <c r="A38" s="13" t="s">
        <v>74</v>
      </c>
      <c r="B38" s="18"/>
      <c r="D38" s="18"/>
      <c r="E38" s="18"/>
    </row>
    <row r="39" spans="1:12" x14ac:dyDescent="0.25">
      <c r="A39" s="32"/>
      <c r="B39" s="18"/>
      <c r="D39" s="18"/>
      <c r="E39" s="18"/>
    </row>
    <row r="40" spans="1:12" x14ac:dyDescent="0.25">
      <c r="A40" s="13" t="s">
        <v>40</v>
      </c>
      <c r="B40" s="18">
        <f>SUM(B36,B38)/0.98-SUM(B36,B38)</f>
        <v>265094.77193877473</v>
      </c>
      <c r="C40" s="33"/>
      <c r="D40" s="18"/>
    </row>
    <row r="41" spans="1:12" ht="15.75" thickBot="1" x14ac:dyDescent="0.3">
      <c r="A41" s="13" t="s">
        <v>75</v>
      </c>
      <c r="B41" s="34">
        <f>SUM(B36+B38+B40)</f>
        <v>13254738.59693877</v>
      </c>
      <c r="F41" s="35"/>
      <c r="G41" s="35"/>
    </row>
    <row r="42" spans="1:12" ht="15.75" thickTop="1" x14ac:dyDescent="0.25">
      <c r="F42" s="35"/>
      <c r="G42" s="35"/>
      <c r="L42" s="35"/>
    </row>
    <row r="43" spans="1:12" x14ac:dyDescent="0.25">
      <c r="B43" s="18"/>
      <c r="C43" s="35"/>
      <c r="D43" s="35" t="s">
        <v>72</v>
      </c>
      <c r="E43" s="35"/>
      <c r="G43" s="36"/>
      <c r="H43" s="36"/>
      <c r="L43" s="37"/>
    </row>
    <row r="44" spans="1:12" x14ac:dyDescent="0.25">
      <c r="A44" s="13" t="s">
        <v>42</v>
      </c>
      <c r="B44" s="5" t="s">
        <v>8</v>
      </c>
      <c r="C44" s="35" t="s">
        <v>9</v>
      </c>
      <c r="D44" s="35" t="s">
        <v>45</v>
      </c>
      <c r="E44" s="35" t="s">
        <v>10</v>
      </c>
      <c r="G44" s="35" t="s">
        <v>11</v>
      </c>
      <c r="H44" s="36"/>
      <c r="L44" s="37"/>
    </row>
    <row r="45" spans="1:12" x14ac:dyDescent="0.25">
      <c r="B45" s="38" t="s">
        <v>12</v>
      </c>
      <c r="C45" s="39">
        <v>0</v>
      </c>
      <c r="D45" s="37">
        <f>IF(G45&lt;=0,0,IF($B$30*0.02&gt;G45,G45,$B$30*0.02))</f>
        <v>0</v>
      </c>
      <c r="E45" s="37">
        <f>+C45*D45</f>
        <v>0</v>
      </c>
      <c r="G45" s="36">
        <f>+IF(B31&lt;0,0,B31)</f>
        <v>0</v>
      </c>
      <c r="H45" s="31"/>
      <c r="L45" s="37"/>
    </row>
    <row r="46" spans="1:12" x14ac:dyDescent="0.25">
      <c r="B46" s="38" t="s">
        <v>47</v>
      </c>
      <c r="C46" s="39">
        <v>0.25</v>
      </c>
      <c r="D46" s="37">
        <f>IF(G46&lt;=0,0,IF($B$30*0.02&gt;G46,G46,$B$30*0.02))</f>
        <v>0</v>
      </c>
      <c r="E46" s="37">
        <f>+C46*D46</f>
        <v>0</v>
      </c>
      <c r="G46" s="36">
        <f>+G45-D45</f>
        <v>0</v>
      </c>
      <c r="H46" s="36"/>
      <c r="L46" s="37"/>
    </row>
    <row r="47" spans="1:12" x14ac:dyDescent="0.25">
      <c r="B47" s="38" t="s">
        <v>54</v>
      </c>
      <c r="C47" s="39">
        <v>0.75</v>
      </c>
      <c r="D47" s="37">
        <f>IF(G47&lt;=0,0,IF($B$30*0.03&gt;G47,G47,$B$30*0.03))</f>
        <v>0</v>
      </c>
      <c r="E47" s="37">
        <f>+C47*D47</f>
        <v>0</v>
      </c>
      <c r="G47" s="36">
        <f>+G46-D46</f>
        <v>0</v>
      </c>
      <c r="H47" s="36"/>
      <c r="L47" s="37"/>
    </row>
    <row r="48" spans="1:12" x14ac:dyDescent="0.25">
      <c r="B48" s="38" t="s">
        <v>46</v>
      </c>
      <c r="C48" s="39">
        <v>1</v>
      </c>
      <c r="D48" s="37">
        <f>IF(G48&lt;=0,0,IF($B$30*0.93&gt;G48,G48,$B$30*0.93))</f>
        <v>0</v>
      </c>
      <c r="E48" s="37">
        <f>+C48*D48</f>
        <v>0</v>
      </c>
      <c r="G48" s="36">
        <f>+G47-D47</f>
        <v>0</v>
      </c>
      <c r="H48" s="36"/>
      <c r="L48" s="37"/>
    </row>
    <row r="49" spans="1:12" x14ac:dyDescent="0.25">
      <c r="B49" s="38"/>
      <c r="C49" s="39"/>
      <c r="D49" s="37"/>
      <c r="E49" s="37"/>
    </row>
    <row r="50" spans="1:12" x14ac:dyDescent="0.25">
      <c r="B50" s="38"/>
      <c r="C50" s="39"/>
      <c r="D50" s="37"/>
      <c r="E50" s="37"/>
    </row>
    <row r="51" spans="1:12" x14ac:dyDescent="0.25">
      <c r="B51" s="38"/>
      <c r="C51" s="38"/>
      <c r="E51" s="36"/>
      <c r="F51" s="35"/>
      <c r="G51" s="35"/>
      <c r="L51" s="40"/>
    </row>
    <row r="52" spans="1:12" x14ac:dyDescent="0.25">
      <c r="F52" s="35"/>
      <c r="G52" s="35"/>
      <c r="L52" s="40"/>
    </row>
    <row r="53" spans="1:12" x14ac:dyDescent="0.25">
      <c r="B53" s="18"/>
      <c r="C53" s="35"/>
      <c r="D53" s="35" t="s">
        <v>49</v>
      </c>
      <c r="E53" s="35"/>
      <c r="G53" s="36"/>
      <c r="H53" s="36"/>
      <c r="L53" s="37"/>
    </row>
    <row r="54" spans="1:12" x14ac:dyDescent="0.25">
      <c r="A54" s="13" t="s">
        <v>76</v>
      </c>
      <c r="B54" s="5" t="s">
        <v>13</v>
      </c>
      <c r="C54" s="35" t="s">
        <v>9</v>
      </c>
      <c r="D54" s="35" t="s">
        <v>45</v>
      </c>
      <c r="E54" s="35" t="s">
        <v>14</v>
      </c>
      <c r="G54" s="35" t="s">
        <v>11</v>
      </c>
      <c r="H54" s="36"/>
      <c r="L54" s="37"/>
    </row>
    <row r="55" spans="1:12" x14ac:dyDescent="0.25">
      <c r="B55" s="38">
        <v>0.01</v>
      </c>
      <c r="C55" s="39">
        <v>0</v>
      </c>
      <c r="D55" s="37">
        <f>IF(G55&gt;=0,0,IF(-$B$30*0.01&lt;G55,G55,-$B$30*0.01))</f>
        <v>-10003611.950000001</v>
      </c>
      <c r="E55" s="37">
        <f t="shared" ref="E55:E59" si="7">+C55*D55</f>
        <v>0</v>
      </c>
      <c r="G55" s="36">
        <f>+IF(B31&gt;0,0,B31)</f>
        <v>-37326749</v>
      </c>
      <c r="H55" s="36"/>
      <c r="L55" s="37"/>
    </row>
    <row r="56" spans="1:12" x14ac:dyDescent="0.25">
      <c r="B56" s="63" t="s">
        <v>56</v>
      </c>
      <c r="C56" s="39">
        <v>0.25</v>
      </c>
      <c r="D56" s="37">
        <f>IF(G56&gt;=0,0,IF(-$B$30*0.01&lt;G56,G56,-$B$30*0.01))</f>
        <v>-10003611.950000001</v>
      </c>
      <c r="E56" s="37">
        <f>+C56*D56</f>
        <v>-2500902.9875000003</v>
      </c>
      <c r="G56" s="36">
        <f>G55-D55</f>
        <v>-27323137.049999997</v>
      </c>
      <c r="H56" s="36"/>
      <c r="L56" s="37"/>
    </row>
    <row r="57" spans="1:12" x14ac:dyDescent="0.25">
      <c r="B57" s="64" t="s">
        <v>51</v>
      </c>
      <c r="C57" s="39">
        <v>0.5</v>
      </c>
      <c r="D57" s="37">
        <f>IF(G57&gt;=0,0,IF(-$B$30*0.01&lt;G57,G57,-$B$30*0.01))</f>
        <v>-10003611.950000001</v>
      </c>
      <c r="E57" s="37">
        <f>+C57*D57</f>
        <v>-5001805.9750000006</v>
      </c>
      <c r="G57" s="36">
        <f>G56-D56</f>
        <v>-17319525.099999994</v>
      </c>
      <c r="H57" s="36"/>
      <c r="L57" s="37"/>
    </row>
    <row r="58" spans="1:12" x14ac:dyDescent="0.25">
      <c r="B58" s="64" t="s">
        <v>52</v>
      </c>
      <c r="C58" s="39">
        <v>0.75</v>
      </c>
      <c r="D58" s="37">
        <f>IF(G58&gt;=0,0,IF(-$B$30*0.01&lt;G58,G58,$B$30*0.01))</f>
        <v>-7315913.1499999929</v>
      </c>
      <c r="E58" s="37">
        <f t="shared" si="7"/>
        <v>-5486934.8624999952</v>
      </c>
      <c r="G58" s="36">
        <f>G57-D57</f>
        <v>-7315913.1499999929</v>
      </c>
      <c r="H58" s="36"/>
      <c r="L58" s="37"/>
    </row>
    <row r="59" spans="1:12" x14ac:dyDescent="0.25">
      <c r="B59" s="38" t="s">
        <v>53</v>
      </c>
      <c r="C59" s="39">
        <v>1</v>
      </c>
      <c r="D59" s="37">
        <f>IF(G59&gt;=0,0,IF(-$B$30*0.96&lt;G59,G59,-$B$30*0.96))</f>
        <v>0</v>
      </c>
      <c r="E59" s="37">
        <f t="shared" si="7"/>
        <v>0</v>
      </c>
      <c r="G59" s="36">
        <f>G58-D58</f>
        <v>0</v>
      </c>
      <c r="H59" s="36"/>
    </row>
    <row r="60" spans="1:12" x14ac:dyDescent="0.25">
      <c r="B60" s="38"/>
      <c r="C60" s="39"/>
      <c r="D60" s="37"/>
      <c r="E60" s="37"/>
      <c r="H60" s="36"/>
    </row>
    <row r="61" spans="1:12" x14ac:dyDescent="0.25">
      <c r="B61" s="38"/>
      <c r="C61" s="39"/>
      <c r="D61" s="37"/>
      <c r="E61" s="37"/>
    </row>
    <row r="62" spans="1:12" x14ac:dyDescent="0.25">
      <c r="B62" s="38"/>
      <c r="C62" s="39"/>
      <c r="D62" s="37"/>
      <c r="E62" s="37"/>
    </row>
    <row r="63" spans="1:12" ht="15.75" thickBot="1" x14ac:dyDescent="0.3"/>
    <row r="64" spans="1:12" x14ac:dyDescent="0.25">
      <c r="A64" s="1" t="s">
        <v>43</v>
      </c>
      <c r="B64" s="2"/>
      <c r="C64" s="2"/>
      <c r="D64" s="2"/>
      <c r="E64" s="2"/>
      <c r="F64" s="3"/>
    </row>
    <row r="65" spans="1:6" x14ac:dyDescent="0.25">
      <c r="A65" s="4" t="s">
        <v>77</v>
      </c>
      <c r="F65" s="6"/>
    </row>
    <row r="66" spans="1:6" x14ac:dyDescent="0.25">
      <c r="A66" s="7" t="s">
        <v>69</v>
      </c>
      <c r="F66" s="6"/>
    </row>
    <row r="67" spans="1:6" x14ac:dyDescent="0.25">
      <c r="A67" s="7" t="s">
        <v>60</v>
      </c>
      <c r="F67" s="6"/>
    </row>
    <row r="68" spans="1:6" x14ac:dyDescent="0.25">
      <c r="A68" s="7" t="s">
        <v>70</v>
      </c>
      <c r="F68" s="6"/>
    </row>
    <row r="69" spans="1:6" ht="15" customHeight="1" thickBot="1" x14ac:dyDescent="0.3">
      <c r="A69" s="10" t="s">
        <v>59</v>
      </c>
      <c r="B69" s="11"/>
      <c r="C69" s="11"/>
      <c r="D69" s="11"/>
      <c r="E69" s="11"/>
      <c r="F69" s="12"/>
    </row>
    <row r="70" spans="1:6" ht="12" customHeight="1" x14ac:dyDescent="0.25"/>
  </sheetData>
  <pageMargins left="0.75" right="0.75" top="1" bottom="1" header="0.5" footer="0.5"/>
  <pageSetup scale="32" orientation="landscape" r:id="rId1"/>
  <headerFooter alignWithMargins="0">
    <oddHeader xml:space="preserve">&amp;L&amp;G&amp;C&amp;"-,Bold"&amp;12&amp;K2F8DCBAHCCCS CONTRACTOR OPERATIONS MANUAL
 POLICY 311 - ATTACHMENT A -
ACC and ACC-RBHA PROGRAM TIERED RECONCILIATION - EXAMPLE
FOR THE CONTRACT YEAR ENDED 09/30/xx
AS OF: xx/xx/xx
</oddHeader>
    <oddFooter>&amp;L&amp;"-,Regular"&amp;K2F8DCBEffective Dates: 10/01/22, &amp;K2F8DCB10/01/23, 10/01/24&amp;K2F8DCB
Approval Dates: 08/04/22, 05/18/23,&amp;K2F8DCB 05/14/24&amp;C&amp;"-,Bold"&amp;11&amp;K2F8DCB 311 - Attachment A 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3AC1A-0799-419B-9FE4-EF6B9525D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A2CC9-80BC-4271-81AF-F5775CE73B7C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a328e85-1231-4692-ab8d-fba2a139eb09"/>
    <ds:schemaRef ds:uri="http://schemas.microsoft.com/office/infopath/2007/PartnerControls"/>
    <ds:schemaRef ds:uri="0c2df177-cbb8-4d93-bfbc-f08deed2942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D45C95-B5B4-42CA-B23F-BD2B1EFC1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Reconciliation Template</vt:lpstr>
      <vt:lpstr>Recon Example Calc-Profit</vt:lpstr>
      <vt:lpstr>Recon Example Calc-Loss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311 ATTACHMENT A</dc:title>
  <dc:creator>Voogd, Leanna</dc:creator>
  <cp:lastModifiedBy>Parra, Carol</cp:lastModifiedBy>
  <cp:lastPrinted>2024-05-17T01:28:33Z</cp:lastPrinted>
  <dcterms:created xsi:type="dcterms:W3CDTF">2018-09-13T04:33:40Z</dcterms:created>
  <dcterms:modified xsi:type="dcterms:W3CDTF">2024-08-06T22:24:17Z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APC">
    <vt:bool>false</vt:bool>
  </property>
  <property fmtid="{D5CDD505-2E9C-101B-9397-08002B2CF9AE}" pid="4" name="APC0">
    <vt:bool>false</vt:bool>
  </property>
  <property fmtid="{D5CDD505-2E9C-101B-9397-08002B2CF9AE}" pid="5" name="Checked Out">
    <vt:bool>false</vt:bool>
  </property>
  <property fmtid="{D5CDD505-2E9C-101B-9397-08002B2CF9AE}" pid="6" name="AD Alternate 2">
    <vt:lpwstr/>
  </property>
  <property fmtid="{D5CDD505-2E9C-101B-9397-08002B2CF9AE}" pid="7" name="AD Alternate 1">
    <vt:lpwstr/>
  </property>
  <property fmtid="{D5CDD505-2E9C-101B-9397-08002B2CF9AE}" pid="8" name="AD1">
    <vt:lpwstr/>
  </property>
  <property fmtid="{D5CDD505-2E9C-101B-9397-08002B2CF9AE}" pid="9" name="IntWorkflow">
    <vt:lpwstr/>
  </property>
  <property fmtid="{D5CDD505-2E9C-101B-9397-08002B2CF9AE}" pid="10" name="AD2">
    <vt:lpwstr/>
  </property>
  <property fmtid="{D5CDD505-2E9C-101B-9397-08002B2CF9AE}" pid="11" name="Urgent">
    <vt:bool>false</vt:bool>
  </property>
  <property fmtid="{D5CDD505-2E9C-101B-9397-08002B2CF9AE}" pid="12" name="AD2Action">
    <vt:lpwstr/>
  </property>
  <property fmtid="{D5CDD505-2E9C-101B-9397-08002B2CF9AE}" pid="13" name="Order">
    <vt:r8>215100</vt:r8>
  </property>
  <property fmtid="{D5CDD505-2E9C-101B-9397-08002B2CF9AE}" pid="14" name="CommentsAD">
    <vt:lpwstr/>
  </property>
  <property fmtid="{D5CDD505-2E9C-101B-9397-08002B2CF9AE}" pid="15" name="Lead">
    <vt:lpwstr/>
  </property>
  <property fmtid="{D5CDD505-2E9C-101B-9397-08002B2CF9AE}" pid="16" name="NotifyAD2">
    <vt:lpwstr/>
  </property>
  <property fmtid="{D5CDD505-2E9C-101B-9397-08002B2CF9AE}" pid="17" name="Archive">
    <vt:lpwstr/>
  </property>
  <property fmtid="{D5CDD505-2E9C-101B-9397-08002B2CF9AE}" pid="18" name="xd_ProgID">
    <vt:lpwstr/>
  </property>
  <property fmtid="{D5CDD505-2E9C-101B-9397-08002B2CF9AE}" pid="19" name="DocumentSetDescription">
    <vt:lpwstr/>
  </property>
  <property fmtid="{D5CDD505-2E9C-101B-9397-08002B2CF9AE}" pid="20" name="AMPMChapter">
    <vt:lpwstr/>
  </property>
  <property fmtid="{D5CDD505-2E9C-101B-9397-08002B2CF9AE}" pid="21" name="AD1Action">
    <vt:lpwstr/>
  </property>
  <property fmtid="{D5CDD505-2E9C-101B-9397-08002B2CF9AE}" pid="22" name="AMPM Chapter test">
    <vt:lpwstr/>
  </property>
  <property fmtid="{D5CDD505-2E9C-101B-9397-08002B2CF9AE}" pid="23" name="Policy">
    <vt:lpwstr/>
  </property>
  <property fmtid="{D5CDD505-2E9C-101B-9397-08002B2CF9AE}" pid="24" name="ComplianceAssetId">
    <vt:lpwstr/>
  </property>
  <property fmtid="{D5CDD505-2E9C-101B-9397-08002B2CF9AE}" pid="25" name="TemplateUrl">
    <vt:lpwstr/>
  </property>
  <property fmtid="{D5CDD505-2E9C-101B-9397-08002B2CF9AE}" pid="26" name="TCN PC">
    <vt:lpwstr/>
  </property>
  <property fmtid="{D5CDD505-2E9C-101B-9397-08002B2CF9AE}" pid="27" name="Analyst">
    <vt:lpwstr/>
  </property>
  <property fmtid="{D5CDD505-2E9C-101B-9397-08002B2CF9AE}" pid="28" name="NotifyAD1">
    <vt:lpwstr/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PolStatus0">
    <vt:lpwstr/>
  </property>
  <property fmtid="{D5CDD505-2E9C-101B-9397-08002B2CF9AE}" pid="32" name="Policy Status">
    <vt:lpwstr/>
  </property>
  <property fmtid="{D5CDD505-2E9C-101B-9397-08002B2CF9AE}" pid="33" name="xd_Signature">
    <vt:bool>false</vt:bool>
  </property>
</Properties>
</file>